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035" tabRatio="881" firstSheet="11" activeTab="18"/>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2">'07'!$A$1:$T$74</definedName>
    <definedName name="_xlnm.Print_Area" localSheetId="23">'08'!$A$1:$N$27</definedName>
    <definedName name="_xlnm.Print_Area" localSheetId="26">'11'!$A$1:$U$28</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9.xml><?xml version="1.0" encoding="utf-8"?>
<comments xmlns="http://schemas.openxmlformats.org/spreadsheetml/2006/main">
  <authors>
    <author>User</author>
  </authors>
  <commentList>
    <comment ref="U15"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<sst xmlns="http://schemas.openxmlformats.org/spreadsheetml/2006/main" count="4886" uniqueCount="812">
  <si>
    <t>I</t>
  </si>
  <si>
    <t>II</t>
  </si>
  <si>
    <t xml:space="preserve">Tổng số
</t>
  </si>
  <si>
    <t>Số việc</t>
  </si>
  <si>
    <t>NGƯỜI LẬP BIỂU</t>
  </si>
  <si>
    <t xml:space="preserve">A
</t>
  </si>
  <si>
    <t>A</t>
  </si>
  <si>
    <t>Chia ra:</t>
  </si>
  <si>
    <t>Đơn vị tính: Việc</t>
  </si>
  <si>
    <t>III</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</si>
  <si>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</si>
  <si>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</si>
  <si>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</si>
  <si>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</si>
  <si>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</si>
  <si>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</si>
  <si>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</si>
  <si>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</si>
  <si>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</si>
  <si>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</si>
  <si>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</si>
  <si>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</si>
  <si>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</si>
  <si>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</si>
  <si>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</si>
  <si>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</si>
  <si>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</si>
  <si>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</si>
  <si>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</si>
  <si>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</si>
  <si>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</si>
  <si>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</si>
  <si>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</si>
  <si>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</si>
  <si>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</si>
  <si>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</si>
  <si>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</si>
  <si>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</si>
  <si>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</si>
  <si>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</si>
  <si>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</si>
  <si>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</si>
  <si>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</si>
  <si>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</si>
  <si>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</si>
  <si>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</si>
  <si>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</si>
  <si>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</si>
  <si>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</si>
  <si>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</si>
  <si>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</si>
  <si>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</si>
  <si>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</si>
  <si>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</si>
  <si>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</si>
  <si>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</si>
  <si>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</si>
  <si>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</si>
  <si>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</si>
  <si>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</si>
  <si>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</si>
  <si>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</si>
  <si>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</si>
  <si>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</si>
  <si>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</si>
  <si>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</si>
  <si>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</si>
  <si>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</si>
  <si>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</si>
  <si>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</si>
  <si>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</si>
  <si>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</si>
  <si>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</si>
  <si>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</si>
  <si>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</si>
  <si>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</si>
  <si>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</si>
  <si>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</si>
  <si>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</si>
  <si>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</si>
  <si>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</si>
  <si>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</si>
  <si>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</si>
  <si>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</si>
  <si>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</si>
  <si>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</si>
  <si>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</si>
  <si>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</si>
  <si>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</si>
  <si>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</si>
  <si>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</si>
  <si>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</si>
  <si>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</si>
  <si>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</si>
  <si>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</si>
  <si>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</si>
  <si>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</si>
  <si>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</si>
  <si>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</si>
  <si>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</si>
  <si>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</si>
  <si>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</si>
  <si>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</si>
  <si>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</si>
  <si>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</si>
  <si>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</si>
  <si>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</si>
  <si>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</si>
  <si>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</si>
  <si>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</si>
  <si>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</si>
  <si>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</si>
  <si>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</si>
  <si>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</si>
  <si>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</si>
  <si>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</si>
  <si>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</si>
  <si>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</si>
  <si>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</si>
  <si>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</si>
  <si>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</si>
  <si>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</si>
  <si>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</si>
  <si>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</si>
  <si>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</si>
  <si>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</si>
  <si>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</si>
  <si>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</si>
  <si>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</si>
  <si>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</si>
  <si>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</si>
  <si>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</si>
  <si>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</si>
  <si>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</si>
  <si>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</si>
  <si>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</si>
  <si>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</si>
  <si>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</si>
  <si>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</si>
  <si>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</si>
  <si>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</si>
  <si>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</si>
  <si>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</si>
  <si>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</si>
  <si>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</si>
  <si>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</si>
  <si>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</si>
  <si>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</si>
  <si>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</si>
  <si>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</si>
  <si>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</si>
  <si>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</si>
  <si>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</si>
  <si>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</si>
  <si>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</si>
  <si>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</si>
  <si>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</si>
  <si>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</si>
  <si>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</si>
  <si>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</si>
  <si>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</si>
  <si>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</si>
  <si>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</si>
  <si>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</si>
  <si>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</si>
  <si>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</si>
  <si>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</si>
  <si>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</si>
  <si>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</si>
  <si>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</si>
  <si>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</si>
  <si>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</si>
  <si>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</si>
  <si>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</si>
  <si>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</si>
  <si>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</si>
  <si>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</si>
  <si>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</si>
  <si>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</si>
  <si>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</si>
  <si>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</si>
  <si>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</si>
  <si>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</si>
  <si>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</si>
  <si>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</si>
  <si>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</si>
  <si>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</si>
  <si>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</si>
  <si>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</si>
  <si>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</si>
  <si>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</si>
  <si>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</si>
  <si>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</si>
  <si>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</si>
  <si>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</si>
  <si>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</si>
  <si>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</si>
  <si>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</si>
  <si>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</si>
  <si>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</si>
  <si>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</si>
  <si>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</si>
  <si>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</si>
  <si>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</si>
  <si>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</si>
  <si>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</si>
  <si>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</si>
  <si>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</si>
  <si>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</si>
  <si>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</si>
  <si>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</si>
  <si>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</si>
  <si>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</si>
  <si>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</si>
  <si>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</si>
  <si>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</si>
  <si>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</si>
  <si>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</si>
  <si>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</si>
  <si>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</si>
  <si>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</si>
  <si>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</si>
  <si>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</si>
  <si>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</si>
  <si>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</si>
  <si>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</si>
  <si>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</si>
  <si>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</si>
  <si>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</si>
  <si>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</si>
  <si>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</si>
  <si>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</si>
  <si>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</si>
  <si>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</si>
  <si>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</si>
  <si>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</si>
  <si>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</si>
  <si>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</si>
  <si>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</si>
  <si>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</si>
  <si>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</si>
  <si>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</si>
  <si>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</si>
  <si>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</si>
  <si>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</si>
  <si>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</si>
  <si>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</si>
  <si>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</si>
  <si>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</si>
  <si>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</si>
  <si>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</si>
  <si>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</si>
  <si>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</si>
  <si>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</si>
  <si>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</si>
  <si>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</si>
  <si>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</si>
  <si>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</si>
  <si>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</si>
  <si>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</si>
  <si>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</si>
  <si>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</si>
  <si>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</si>
  <si>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</si>
  <si>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</si>
  <si>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</si>
  <si>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</si>
  <si>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</si>
  <si>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</si>
  <si>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</si>
  <si>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</si>
  <si>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</si>
  <si>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</si>
  <si>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</si>
  <si>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</si>
  <si>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</si>
  <si>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</si>
  <si>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</si>
  <si>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</si>
  <si>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</si>
  <si>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</si>
  <si>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</si>
  <si>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</si>
  <si>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</si>
  <si>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</si>
  <si>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</si>
  <si>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</si>
  <si>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</si>
  <si>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</si>
  <si>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</si>
  <si>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</si>
  <si>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</si>
  <si>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</si>
  <si>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</si>
  <si>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</si>
  <si>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</si>
  <si>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</si>
  <si>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</si>
  <si>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</si>
  <si>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</si>
  <si>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</si>
  <si>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</si>
  <si>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</si>
  <si>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</si>
  <si>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</si>
  <si>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</si>
  <si>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</si>
  <si>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</si>
  <si>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</si>
  <si>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</si>
  <si>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</si>
  <si>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</si>
  <si>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</si>
  <si>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</si>
  <si>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</si>
  <si>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</si>
  <si>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</si>
  <si>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</si>
  <si>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</si>
  <si>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</si>
  <si>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</si>
  <si>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</si>
  <si>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</si>
  <si>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</si>
  <si>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</si>
  <si>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</si>
  <si>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</si>
  <si>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</si>
  <si>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</si>
  <si>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</si>
  <si>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</si>
  <si>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</si>
  <si>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</si>
  <si>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</si>
  <si>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</si>
  <si>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</si>
  <si>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</si>
  <si>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</si>
  <si>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</si>
  <si>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</si>
  <si>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</si>
  <si>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</si>
  <si>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</si>
  <si>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</si>
  <si>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</si>
  <si>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</si>
  <si>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</si>
  <si>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</si>
  <si>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</si>
  <si>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</si>
  <si>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</si>
  <si>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</si>
  <si>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</si>
  <si>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</si>
  <si>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</si>
  <si>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</si>
  <si>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</si>
  <si>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</si>
  <si>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</si>
  <si>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</si>
  <si>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</si>
  <si>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</si>
  <si>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</si>
  <si>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</si>
  <si>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</si>
  <si>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</si>
  <si>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</si>
  <si>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</si>
  <si>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</si>
  <si>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</si>
  <si>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</si>
  <si>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</si>
  <si>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</si>
  <si>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</si>
  <si>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</si>
  <si>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</si>
  <si>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</si>
  <si>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</si>
  <si>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</si>
  <si>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</si>
  <si>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</si>
  <si>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</si>
  <si>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</si>
  <si>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</si>
  <si>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</si>
  <si>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</si>
  <si>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</si>
  <si>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</si>
  <si>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</si>
  <si>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</si>
  <si>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</si>
  <si>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</si>
  <si>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</si>
  <si>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</si>
  <si>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</si>
  <si>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</si>
  <si>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</si>
  <si>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</si>
  <si>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</si>
  <si>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</si>
  <si>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</si>
  <si>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</si>
  <si>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</si>
  <si>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</si>
  <si>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</si>
  <si>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</si>
  <si>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</si>
  <si>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</si>
  <si>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</si>
  <si>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</si>
  <si>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</si>
  <si>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</si>
  <si>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</si>
  <si>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</si>
  <si>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</si>
  <si>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</si>
  <si>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</si>
  <si>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</si>
  <si>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</si>
  <si>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</si>
  <si>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</si>
  <si>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</si>
  <si>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</si>
  <si>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</si>
  <si>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</si>
  <si>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</si>
  <si>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</si>
  <si>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</si>
  <si>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</si>
  <si>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</si>
  <si>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</si>
  <si>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</si>
  <si>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</si>
  <si>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</si>
  <si>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</si>
  <si>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</si>
  <si>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</si>
  <si>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</si>
  <si>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</si>
  <si>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</si>
  <si>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</si>
  <si>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</si>
  <si>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</si>
  <si>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</si>
  <si>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</si>
  <si>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</si>
  <si>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</si>
  <si>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</si>
  <si>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</si>
  <si>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</si>
  <si>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</si>
  <si>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</si>
  <si>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</si>
  <si>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</si>
  <si>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</si>
  <si>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</si>
  <si>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</si>
  <si>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</si>
  <si>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</si>
  <si>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</si>
  <si>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</si>
  <si>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</si>
  <si>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</si>
  <si>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</si>
  <si>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</si>
  <si>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</si>
  <si>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</si>
  <si>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</si>
  <si>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</si>
  <si>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</si>
  <si>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</si>
  <si>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</si>
  <si>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</si>
  <si>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</si>
  <si>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</si>
  <si>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</si>
  <si>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</si>
  <si>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</si>
  <si>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</si>
  <si>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</si>
  <si>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</si>
  <si>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</si>
  <si>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</si>
  <si>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</si>
  <si>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</si>
  <si>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</si>
  <si>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</si>
  <si>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</si>
  <si>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</si>
  <si>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</si>
  <si>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</si>
  <si>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</si>
  <si>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</si>
  <si>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</si>
  <si>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</si>
  <si>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</si>
  <si>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</si>
  <si>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</si>
  <si>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t>
  </si>
  <si>
    <t>B 3+B4</t>
  </si>
  <si>
    <t>B 7</t>
  </si>
  <si>
    <t>CHÊNH  B5 và B7</t>
  </si>
  <si>
    <t>CHÊNH  B3 + B4 và B 5</t>
  </si>
  <si>
    <t>THÀNH PHỐ</t>
  </si>
  <si>
    <t>CỤC TRƯỞNG</t>
  </si>
  <si>
    <t>TOÀN TỈNH</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</si>
  <si>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</si>
  <si>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</si>
  <si>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</si>
  <si>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</si>
  <si>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</si>
  <si>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</si>
  <si>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</si>
  <si>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</si>
  <si>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</si>
  <si>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</si>
  <si>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</si>
  <si>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</si>
  <si>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</si>
  <si>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</si>
  <si>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</si>
  <si>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</si>
  <si>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</si>
  <si>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</si>
  <si>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</si>
  <si>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</si>
  <si>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</si>
  <si>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</si>
  <si>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</si>
  <si>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</si>
  <si>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</si>
  <si>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</si>
  <si>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</si>
  <si>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</si>
  <si>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</si>
  <si>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</si>
  <si>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</si>
  <si>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</si>
  <si>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</si>
  <si>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</si>
  <si>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</si>
  <si>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</si>
  <si>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</si>
  <si>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</si>
  <si>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</si>
  <si>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</si>
  <si>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</si>
  <si>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</si>
  <si>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</si>
  <si>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</si>
  <si>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</si>
  <si>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</si>
  <si>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</si>
  <si>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</si>
  <si>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</si>
  <si>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</si>
  <si>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</si>
  <si>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</si>
  <si>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</si>
  <si>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</si>
  <si>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</si>
  <si>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</si>
  <si>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</si>
  <si>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</si>
  <si>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</si>
  <si>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</si>
  <si>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</si>
  <si>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</si>
  <si>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</si>
  <si>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</si>
  <si>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</si>
  <si>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</si>
  <si>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</si>
  <si>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</si>
  <si>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</si>
  <si>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</si>
  <si>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</si>
  <si>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</si>
  <si>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</si>
  <si>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</si>
  <si>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</si>
  <si>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</si>
  <si>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</si>
  <si>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</si>
  <si>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</si>
  <si>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</si>
  <si>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</si>
  <si>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</si>
  <si>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</si>
  <si>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</si>
  <si>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</si>
  <si>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</si>
  <si>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</si>
  <si>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</si>
  <si>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</si>
  <si>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</si>
  <si>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</si>
  <si>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</si>
  <si>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</si>
  <si>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</si>
  <si>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</si>
  <si>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</si>
  <si>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</si>
  <si>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</si>
  <si>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</si>
  <si>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</si>
  <si>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</si>
  <si>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</si>
  <si>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</si>
  <si>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</si>
  <si>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</si>
  <si>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</si>
  <si>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</si>
  <si>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</si>
  <si>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</si>
  <si>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</si>
  <si>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</si>
  <si>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</si>
  <si>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</si>
  <si>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</si>
  <si>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</si>
  <si>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</si>
  <si>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</si>
  <si>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</si>
  <si>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</si>
  <si>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</si>
  <si>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</si>
  <si>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</si>
  <si>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</si>
  <si>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 xml:space="preserve"> Ban hành theo TT số: 01/2013/TT-BTP</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</si>
  <si>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</si>
  <si>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</si>
  <si>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</si>
  <si>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</si>
  <si>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</si>
  <si>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</si>
  <si>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</si>
  <si>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</si>
  <si>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</si>
  <si>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</si>
  <si>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</si>
  <si>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</si>
  <si>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</si>
  <si>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</si>
  <si>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</si>
  <si>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</si>
  <si>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</si>
  <si>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</si>
  <si>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</si>
  <si>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</si>
  <si>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</si>
  <si>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</si>
  <si>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</si>
  <si>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</si>
  <si>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</si>
  <si>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</si>
  <si>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</si>
  <si>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</si>
  <si>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</si>
  <si>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</si>
  <si>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</si>
  <si>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</si>
  <si>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</si>
  <si>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</si>
  <si>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Trần Kim Sơn</t>
  </si>
  <si>
    <t>Nguyễn Ngọc Đắc</t>
  </si>
  <si>
    <t>Hoàng Quang Hà</t>
  </si>
  <si>
    <t>Phạm Thị Linh Điệp</t>
  </si>
  <si>
    <t>Triệu Thu Hằng</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</si>
  <si>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</si>
  <si>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</si>
  <si>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</si>
  <si>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</si>
  <si>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</si>
  <si>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</si>
  <si>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</si>
  <si>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</si>
  <si>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</si>
  <si>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</si>
  <si>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</si>
  <si>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</si>
  <si>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</si>
  <si>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</si>
  <si>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</si>
  <si>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</si>
  <si>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</si>
  <si>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</si>
  <si>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</si>
  <si>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</si>
  <si>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</si>
  <si>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</si>
  <si>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</si>
  <si>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</si>
  <si>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</si>
  <si>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</si>
  <si>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</si>
  <si>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</si>
  <si>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</si>
  <si>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</si>
  <si>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</si>
  <si>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</si>
  <si>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</si>
  <si>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</si>
  <si>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</si>
  <si>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</si>
  <si>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</si>
  <si>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</si>
  <si>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</si>
  <si>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</si>
  <si>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Chi cục Thi hành án thành phố</t>
  </si>
  <si>
    <t>Chi cục Thi hành án huyện Yên Sơn</t>
  </si>
  <si>
    <t>Chi cục Thi hành án Sơn Dương</t>
  </si>
  <si>
    <t>Chi cục Thi hành án Hàm Yên</t>
  </si>
  <si>
    <t>Chi cục Thi hành án Chiêm Hóa</t>
  </si>
  <si>
    <t>Chi cục Thi hành án Na Hang</t>
  </si>
  <si>
    <t>Chi cục Thi hành án Lâm Bình</t>
  </si>
  <si>
    <t xml:space="preserve">Nguyễn Tuyên </t>
  </si>
  <si>
    <t xml:space="preserve"> Viện KSND cấp cao</t>
  </si>
  <si>
    <t xml:space="preserve">Ban hành kèm theo TT số 08/2015/TT-BTP </t>
  </si>
  <si>
    <t>Ban hành kèm theo TT số 08/2015/TT-BTP</t>
  </si>
  <si>
    <t xml:space="preserve"> Ban hành kèm theo TT số: 08/2015/TT-BTP</t>
  </si>
  <si>
    <t>Ban hành kèm theo TT số: 08/2015/</t>
  </si>
  <si>
    <t>TT-BTP ngày 26 tháng 6 năm 2015</t>
  </si>
  <si>
    <t>Ban hành kèm theo TT số: 08/2015/TT-BTP</t>
  </si>
  <si>
    <t xml:space="preserve">   KẾT QUẢ THI HÀNH ÁN DÂN SỰ TÍNH BẰNG TIÊN</t>
  </si>
  <si>
    <t xml:space="preserve">Tỉnh Tuyên Quang </t>
  </si>
  <si>
    <t>Cục THADS tỉnh Tuyên Quang</t>
  </si>
  <si>
    <t xml:space="preserve">Nguyễn Văn Quế </t>
  </si>
  <si>
    <t xml:space="preserve">Nguyễn văn Quế </t>
  </si>
  <si>
    <t>Duy Thị Thúy</t>
  </si>
  <si>
    <t>CỤC</t>
  </si>
  <si>
    <t>YEN SON</t>
  </si>
  <si>
    <t>SƠN DUONG</t>
  </si>
  <si>
    <t>HÀM YÊN</t>
  </si>
  <si>
    <t>CHIÊM HÓA</t>
  </si>
  <si>
    <t>NA HANG</t>
  </si>
  <si>
    <t>Lâm Bình</t>
  </si>
  <si>
    <t>YÊN SƠN</t>
  </si>
  <si>
    <t>SON DUONG</t>
  </si>
  <si>
    <t xml:space="preserve">HAM YÊN </t>
  </si>
  <si>
    <t>CHIEM HÓA</t>
  </si>
  <si>
    <t>Cục</t>
  </si>
  <si>
    <t>Thành phố</t>
  </si>
  <si>
    <t>Yên Sơn</t>
  </si>
  <si>
    <t>Hàm yên</t>
  </si>
  <si>
    <t>Sơn duong</t>
  </si>
  <si>
    <t>Chiêm hóa</t>
  </si>
  <si>
    <t>Na hang</t>
  </si>
  <si>
    <t>Yên Son</t>
  </si>
  <si>
    <t>Hàm Yên</t>
  </si>
  <si>
    <t>Na Hang</t>
  </si>
  <si>
    <t xml:space="preserve">Thành phố </t>
  </si>
  <si>
    <t>Yên sơn</t>
  </si>
  <si>
    <t>Số
 biên 
chế
được
giao</t>
  </si>
  <si>
    <t xml:space="preserve">Số 
biên 
chế 
chưa
thực
 hiện
</t>
  </si>
  <si>
    <t>Tổng
số</t>
  </si>
  <si>
    <t>Chấp hành viên
 trong đó:</t>
  </si>
  <si>
    <t>Thẩm tra viên
 trong đó:</t>
  </si>
  <si>
    <t>Thư ký THA
trong đó:</t>
  </si>
  <si>
    <t>Chuyên viên
trong đó:</t>
  </si>
  <si>
    <t>Cán sự
và
tương
đương</t>
  </si>
  <si>
    <t>Kế
toán</t>
  </si>
  <si>
    <t>Thống
kê
viên</t>
  </si>
  <si>
    <t>Công
chức
khác</t>
  </si>
  <si>
    <t>Cao
cấp</t>
  </si>
  <si>
    <t>Trung
cấp</t>
  </si>
  <si>
    <t>Sơ
cấp</t>
  </si>
  <si>
    <t>TTr
VCC</t>
  </si>
  <si>
    <t>TTr
VC</t>
  </si>
  <si>
    <t>TTr
viên</t>
  </si>
  <si>
    <t>Thư 
ký</t>
  </si>
  <si>
    <t>Chi cục THADS TP Tuyên Quang</t>
  </si>
  <si>
    <t>Chi cục THADS huyện Yên Sơn</t>
  </si>
  <si>
    <t>Chi cục THADS huyện Sơn Dương</t>
  </si>
  <si>
    <t>Chi cục THADS huyện Hàm Yên</t>
  </si>
  <si>
    <t>Chi cục THADS huyện Chiêm Hóa</t>
  </si>
  <si>
    <t>Chi cục THADS huyện Na Hang</t>
  </si>
  <si>
    <t>Chi cục THADS huyện Lâm Bình</t>
  </si>
  <si>
    <t>Chia theo trình độ chuyên môn</t>
  </si>
  <si>
    <t>Chia theo số được đào tạo, bồi dưỡng về nghề,
chính trị, quản lý nhà nước</t>
  </si>
  <si>
    <t>Số công chức
trên đại học</t>
  </si>
  <si>
    <t>Số công chức
trung cấp</t>
  </si>
  <si>
    <t>Số
công
chức
khác</t>
  </si>
  <si>
    <t>Quản lý nhà nước
 trong đó:</t>
  </si>
  <si>
    <t>Chính trị trong đó:</t>
  </si>
  <si>
    <t>Chấp
hành
viên</t>
  </si>
  <si>
    <t>Thẩm
tra
viên</t>
  </si>
  <si>
    <t>Thư
ký</t>
  </si>
  <si>
    <t>Ngành
Luật</t>
  </si>
  <si>
    <t>Tổng cộng</t>
  </si>
  <si>
    <r>
      <t xml:space="preserve">Đơn vị nhận báo cáo: </t>
    </r>
    <r>
      <rPr>
        <b/>
        <sz val="9"/>
        <rFont val="Times New Roman"/>
        <family val="1"/>
      </rPr>
      <t>Tổng cục</t>
    </r>
  </si>
  <si>
    <t>TP</t>
  </si>
  <si>
    <t>Hà Ích Đạt</t>
  </si>
  <si>
    <t>Nguyễn Hồng Nghị</t>
  </si>
  <si>
    <t>Nguyễn Thị  Dương Hồng</t>
  </si>
  <si>
    <t>Hoàng Đức Úy</t>
  </si>
  <si>
    <t>tp</t>
  </si>
  <si>
    <t>Các chi Cục thành phố</t>
  </si>
  <si>
    <t>0</t>
  </si>
  <si>
    <t>Tên chỉ tiêu</t>
  </si>
  <si>
    <t>12 tháng năm 2017</t>
  </si>
  <si>
    <t>Đỗ Thị Hồng Huệ</t>
  </si>
  <si>
    <t>Hoàng Phương Hoa</t>
  </si>
  <si>
    <t>Nguyễn T Dương Hồng</t>
  </si>
  <si>
    <t>Đỗ Minh Hạnh</t>
  </si>
  <si>
    <t>06 tháng / năm 2018</t>
  </si>
  <si>
    <t>Tuyên Quang, ngày 05 tháng 04 năm 2018</t>
  </si>
  <si>
    <t>DĐỗ Hồng Huệ</t>
  </si>
  <si>
    <t>9.899</t>
  </si>
  <si>
    <t xml:space="preserve">Số chưa tổ chức cưỡng chế </t>
  </si>
  <si>
    <t>Nguyễn Tuyên</t>
  </si>
  <si>
    <t>Hứa Đức Hạnh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</si>
</sst>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s>
  <fonts count="172">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1"/>
      <color indexed="8"/>
      <name val="Times New Roman"/>
      <family val="1"/>
    </font>
    <font>
      <sz val="12"/>
      <color indexed="13"/>
      <name val=".VnTime"/>
      <family val="2"/>
    </font>
    <font>
      <b/>
      <sz val="10"/>
      <color indexed="12"/>
      <name val="Times New Roman"/>
      <family val="1"/>
    </font>
    <font>
      <sz val="7"/>
      <name val="Times New Roman"/>
      <family val="1"/>
    </font>
    <font>
      <i/>
      <sz val="10"/>
      <name val="Arial"/>
      <family val="2"/>
    </font>
    <font>
      <sz val="9"/>
      <color indexed="53"/>
      <name val="Times New Roman"/>
      <family val="1"/>
    </font>
    <font>
      <b/>
      <sz val="10"/>
      <color indexed="53"/>
      <name val="Times New Roman"/>
      <family val="1"/>
    </font>
    <font>
      <sz val="11"/>
      <color indexed="8"/>
      <name val="Times New Roman"/>
      <family val="1"/>
    </font>
    <font>
      <sz val="9"/>
      <color indexed="12"/>
      <name val="Times New Roman"/>
      <family val="1"/>
    </font>
    <font>
      <b/>
      <sz val="10.5"/>
      <name val="Times New Roman"/>
      <family val="1"/>
    </font>
    <font>
      <sz val="10.5"/>
      <name val="Times New Roman"/>
      <family val="1"/>
    </font>
    <font>
      <sz val="10.5"/>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VnTime"/>
      <family val="2"/>
    </font>
    <font>
      <b/>
      <sz val="11"/>
      <name val="Cambria"/>
      <family val="1"/>
    </font>
    <font>
      <sz val="10"/>
      <name val="Cambria"/>
      <family val="1"/>
    </font>
    <font>
      <sz val="12"/>
      <name val="Cambria"/>
      <family val="1"/>
    </font>
    <font>
      <sz val="14"/>
      <name val="Cambria"/>
      <family val="1"/>
    </font>
    <font>
      <b/>
      <sz val="11"/>
      <color rgb="FFFF0000"/>
      <name val="Times New Roman"/>
      <family val="1"/>
    </font>
    <font>
      <sz val="11"/>
      <color rgb="FFFF0000"/>
      <name val="Times New Roman"/>
      <family val="1"/>
    </font>
    <font>
      <sz val="9"/>
      <name val="Cambria"/>
      <family val="1"/>
    </font>
    <font>
      <b/>
      <sz val="9"/>
      <name val="Cambria"/>
      <family val="1"/>
    </font>
    <font>
      <i/>
      <sz val="14"/>
      <name val="Cambria"/>
      <family val="1"/>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9" tint="0.39998000860214233"/>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45"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45"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5"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5"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45"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45"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5"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4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45"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5"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5"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46"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46"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6"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6"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6"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6"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46"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46"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6"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46"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6"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6"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47"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48" fillId="37" borderId="1" applyNumberFormat="0" applyAlignment="0" applyProtection="0"/>
    <xf numFmtId="0" fontId="44" fillId="38" borderId="2" applyNumberFormat="0" applyAlignment="0" applyProtection="0"/>
    <xf numFmtId="0" fontId="4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9" fillId="39" borderId="3" applyNumberFormat="0" applyAlignment="0" applyProtection="0"/>
    <xf numFmtId="0" fontId="45" fillId="40" borderId="4" applyNumberFormat="0" applyAlignment="0" applyProtection="0"/>
    <xf numFmtId="0" fontId="45" fillId="40" borderId="4" applyNumberFormat="0" applyAlignment="0" applyProtection="0"/>
    <xf numFmtId="0" fontId="15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51"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52"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53"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54"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5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55" fillId="42" borderId="1" applyNumberFormat="0" applyAlignment="0" applyProtection="0"/>
    <xf numFmtId="0" fontId="51" fillId="9" borderId="2" applyNumberFormat="0" applyAlignment="0" applyProtection="0"/>
    <xf numFmtId="0" fontId="51" fillId="9" borderId="2" applyNumberFormat="0" applyAlignment="0" applyProtection="0"/>
    <xf numFmtId="0" fontId="156"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57"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58"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0"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6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2005">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8"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59"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7" fillId="3" borderId="20" xfId="136" applyNumberFormat="1" applyFont="1" applyFill="1" applyBorder="1" applyAlignment="1">
      <alignment vertical="center"/>
      <protection/>
    </xf>
    <xf numFmtId="3" fontId="62" fillId="3" borderId="20" xfId="136" applyNumberFormat="1" applyFont="1" applyFill="1" applyBorder="1" applyAlignment="1">
      <alignment vertical="center"/>
      <protection/>
    </xf>
    <xf numFmtId="49" fontId="63"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8"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65"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6"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7" fillId="0" borderId="0" xfId="136" applyNumberFormat="1" applyFont="1" applyBorder="1">
      <alignment/>
      <protection/>
    </xf>
    <xf numFmtId="49" fontId="68" fillId="0" borderId="0" xfId="136" applyNumberFormat="1" applyFont="1" applyBorder="1" applyAlignment="1">
      <alignment wrapText="1"/>
      <protection/>
    </xf>
    <xf numFmtId="49" fontId="6" fillId="0" borderId="0" xfId="136" applyNumberFormat="1" applyFont="1" applyBorder="1">
      <alignment/>
      <protection/>
    </xf>
    <xf numFmtId="49" fontId="45" fillId="0" borderId="0" xfId="136" applyNumberFormat="1" applyFont="1" applyBorder="1" applyAlignment="1">
      <alignment horizontal="center" wrapText="1"/>
      <protection/>
    </xf>
    <xf numFmtId="49" fontId="45" fillId="0" borderId="0" xfId="136" applyNumberFormat="1" applyFont="1" applyFill="1" applyBorder="1" applyAlignment="1">
      <alignment horizontal="center" wrapText="1"/>
      <protection/>
    </xf>
    <xf numFmtId="49" fontId="69"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1" fillId="0" borderId="0" xfId="136" applyFont="1" applyAlignment="1">
      <alignment/>
      <protection/>
    </xf>
    <xf numFmtId="0" fontId="7" fillId="0" borderId="0" xfId="136" applyFont="1" applyAlignment="1">
      <alignment/>
      <protection/>
    </xf>
    <xf numFmtId="49" fontId="36"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4"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5"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7"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39"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8"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6"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6" applyNumberFormat="1" applyFont="1" applyAlignment="1">
      <alignment wrapText="1"/>
      <protection/>
    </xf>
    <xf numFmtId="49" fontId="42" fillId="0" borderId="0" xfId="136" applyNumberFormat="1" applyFont="1">
      <alignment/>
      <protection/>
    </xf>
    <xf numFmtId="49" fontId="42" fillId="0" borderId="0" xfId="136" applyNumberFormat="1" applyFont="1" applyAlignment="1">
      <alignment wrapText="1"/>
      <protection/>
    </xf>
    <xf numFmtId="49" fontId="7" fillId="47" borderId="0" xfId="136" applyNumberFormat="1" applyFont="1" applyFill="1" applyAlignment="1">
      <alignment/>
      <protection/>
    </xf>
    <xf numFmtId="49" fontId="77" fillId="0" borderId="0" xfId="136" applyNumberFormat="1" applyFont="1">
      <alignment/>
      <protection/>
    </xf>
    <xf numFmtId="49" fontId="18" fillId="0" borderId="0" xfId="136"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4"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4" fillId="0" borderId="0" xfId="140" applyNumberFormat="1" applyFont="1" applyAlignment="1">
      <alignment horizontal="center"/>
      <protection/>
    </xf>
    <xf numFmtId="49" fontId="18" fillId="0" borderId="0" xfId="140" applyNumberFormat="1" applyFont="1" applyBorder="1" applyAlignment="1">
      <alignment wrapText="1"/>
      <protection/>
    </xf>
    <xf numFmtId="49" fontId="86"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4"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6"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4"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2"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6" fillId="0" borderId="0" xfId="140" applyNumberFormat="1" applyFont="1">
      <alignment/>
      <protection/>
    </xf>
    <xf numFmtId="49" fontId="36"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0"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3"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6"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7" fillId="0" borderId="0" xfId="140" applyNumberFormat="1" applyFont="1" applyAlignment="1">
      <alignment horizontal="left"/>
      <protection/>
    </xf>
    <xf numFmtId="49" fontId="36"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6"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7" fillId="0" borderId="19" xfId="140" applyNumberFormat="1" applyFont="1" applyFill="1" applyBorder="1" applyAlignment="1">
      <alignment vertical="center"/>
      <protection/>
    </xf>
    <xf numFmtId="49" fontId="36"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8" fillId="0" borderId="0" xfId="140" applyNumberFormat="1" applyFont="1">
      <alignment/>
      <protection/>
    </xf>
    <xf numFmtId="49" fontId="99" fillId="0" borderId="0" xfId="140" applyNumberFormat="1" applyFont="1">
      <alignment/>
      <protection/>
    </xf>
    <xf numFmtId="49" fontId="100" fillId="0" borderId="0" xfId="140" applyNumberFormat="1" applyFont="1" applyAlignment="1">
      <alignment horizontal="center"/>
      <protection/>
    </xf>
    <xf numFmtId="49" fontId="30" fillId="47" borderId="0" xfId="136" applyNumberFormat="1" applyFont="1" applyFill="1" applyAlignment="1">
      <alignment/>
      <protection/>
    </xf>
    <xf numFmtId="49" fontId="85" fillId="0" borderId="0" xfId="140" applyNumberFormat="1" applyFont="1">
      <alignment/>
      <protection/>
    </xf>
    <xf numFmtId="49" fontId="36" fillId="0" borderId="0" xfId="140" applyNumberFormat="1" applyFont="1" applyBorder="1" applyAlignment="1">
      <alignment wrapText="1"/>
      <protection/>
    </xf>
    <xf numFmtId="49" fontId="88" fillId="0" borderId="0" xfId="140" applyNumberFormat="1" applyFont="1">
      <alignment/>
      <protection/>
    </xf>
    <xf numFmtId="49" fontId="83"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1"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7" fillId="0" borderId="0" xfId="140" applyNumberFormat="1" applyFont="1" applyFill="1">
      <alignment/>
      <protection/>
    </xf>
    <xf numFmtId="49" fontId="87"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7" fillId="0" borderId="0" xfId="140" applyFont="1" applyAlignment="1">
      <alignment horizontal="center"/>
      <protection/>
    </xf>
    <xf numFmtId="49" fontId="57" fillId="0" borderId="0" xfId="140" applyNumberFormat="1" applyFont="1">
      <alignment/>
      <protection/>
    </xf>
    <xf numFmtId="49" fontId="102" fillId="0" borderId="0" xfId="140" applyNumberFormat="1" applyFont="1" applyBorder="1" applyAlignment="1">
      <alignment wrapText="1"/>
      <protection/>
    </xf>
    <xf numFmtId="0" fontId="36"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7"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1" applyNumberFormat="1" applyFont="1" applyFill="1" applyBorder="1" applyAlignment="1">
      <alignment horizontal="center" vertical="center"/>
      <protection/>
    </xf>
    <xf numFmtId="3" fontId="62" fillId="47" borderId="20" xfId="135"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35" applyNumberFormat="1" applyFont="1" applyFill="1" applyBorder="1" applyAlignment="1" applyProtection="1">
      <alignment horizontal="center" vertical="center"/>
      <protection/>
    </xf>
    <xf numFmtId="10" fontId="62"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1" fontId="11" fillId="0" borderId="20" xfId="0" applyNumberFormat="1" applyFont="1" applyFill="1" applyBorder="1" applyAlignment="1">
      <alignment horizontal="left"/>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3" fontId="8" fillId="0" borderId="20" xfId="135"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6" fillId="0" borderId="0" xfId="0" applyNumberFormat="1" applyFont="1" applyFill="1" applyBorder="1" applyAlignment="1">
      <alignment/>
    </xf>
    <xf numFmtId="49" fontId="107"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12" fillId="0" borderId="39" xfId="0"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6"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0" fillId="0" borderId="0" xfId="137" applyNumberFormat="1" applyFont="1" applyFill="1" applyAlignment="1">
      <alignment vertical="center"/>
      <protection/>
    </xf>
    <xf numFmtId="49" fontId="8" fillId="0" borderId="20" xfId="137" applyNumberFormat="1" applyFont="1" applyFill="1" applyBorder="1" applyAlignment="1">
      <alignment horizontal="center" vertical="center"/>
      <protection/>
    </xf>
    <xf numFmtId="49" fontId="1" fillId="0" borderId="0" xfId="137" applyNumberFormat="1" applyFont="1" applyFill="1">
      <alignment/>
      <protection/>
    </xf>
    <xf numFmtId="49" fontId="66"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6"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49" fontId="8" fillId="0" borderId="23" xfId="137" applyNumberFormat="1" applyFont="1" applyFill="1" applyBorder="1" applyAlignment="1">
      <alignment horizontal="center"/>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7"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79" fillId="0" borderId="26" xfId="141" applyNumberFormat="1" applyFont="1" applyFill="1" applyBorder="1" applyAlignment="1">
      <alignment wrapText="1"/>
      <protection/>
    </xf>
    <xf numFmtId="49" fontId="79" fillId="0" borderId="25" xfId="141" applyNumberFormat="1" applyFont="1" applyFill="1" applyBorder="1" applyAlignment="1">
      <alignment wrapText="1"/>
      <protection/>
    </xf>
    <xf numFmtId="49" fontId="109"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3" fontId="29" fillId="0" borderId="37" xfId="141" applyNumberFormat="1" applyFont="1" applyFill="1" applyBorder="1" applyAlignment="1">
      <alignment horizontal="center" vertical="center" wrapText="1"/>
      <protection/>
    </xf>
    <xf numFmtId="49" fontId="8"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4"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6"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6"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0"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79" fillId="0" borderId="26" xfId="141" applyFont="1" applyFill="1" applyBorder="1" applyAlignment="1">
      <alignment wrapText="1"/>
      <protection/>
    </xf>
    <xf numFmtId="0" fontId="79" fillId="0" borderId="25" xfId="141" applyFont="1" applyFill="1" applyBorder="1" applyAlignment="1">
      <alignment wrapText="1"/>
      <protection/>
    </xf>
    <xf numFmtId="3" fontId="109"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09" fillId="0" borderId="37" xfId="141" applyFont="1" applyFill="1" applyBorder="1" applyAlignment="1">
      <alignment horizontal="center" wrapText="1"/>
      <protection/>
    </xf>
    <xf numFmtId="0" fontId="32" fillId="0" borderId="0" xfId="141" applyFont="1" applyFill="1" applyBorder="1">
      <alignment/>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9" fontId="32" fillId="0" borderId="0" xfId="151" applyFont="1" applyFill="1" applyAlignment="1">
      <alignment vertical="center"/>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6" fillId="0" borderId="0" xfId="141" applyNumberFormat="1" applyFont="1" applyFill="1" applyBorder="1" applyAlignment="1">
      <alignment/>
      <protection/>
    </xf>
    <xf numFmtId="0" fontId="88"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4"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7"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49" fontId="92"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6" fillId="0" borderId="0" xfId="141" applyNumberFormat="1" applyFont="1" applyFill="1">
      <alignment/>
      <protection/>
    </xf>
    <xf numFmtId="0" fontId="8" fillId="0" borderId="0" xfId="141" applyNumberFormat="1" applyFont="1" applyFill="1" applyAlignment="1">
      <alignment horizontal="left"/>
      <protection/>
    </xf>
    <xf numFmtId="0" fontId="10" fillId="0" borderId="0" xfId="141" applyFont="1" applyFill="1" applyAlignment="1">
      <alignment/>
      <protection/>
    </xf>
    <xf numFmtId="0" fontId="12" fillId="0" borderId="0" xfId="141" applyFont="1" applyFill="1" applyBorder="1" applyAlignment="1">
      <alignment/>
      <protection/>
    </xf>
    <xf numFmtId="0" fontId="32" fillId="0" borderId="24" xfId="141" applyFont="1" applyFill="1" applyBorder="1">
      <alignment/>
      <protection/>
    </xf>
    <xf numFmtId="3" fontId="0" fillId="0" borderId="20" xfId="141" applyNumberFormat="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6"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0" fontId="10" fillId="0" borderId="20" xfId="141" applyFont="1" applyFill="1" applyBorder="1" applyAlignment="1">
      <alignment horizontal="center" vertical="center"/>
      <protection/>
    </xf>
    <xf numFmtId="49" fontId="84" fillId="0" borderId="0" xfId="141" applyNumberFormat="1" applyFont="1" applyFill="1">
      <alignment/>
      <protection/>
    </xf>
    <xf numFmtId="9" fontId="32" fillId="0" borderId="0" xfId="150" applyFont="1" applyFill="1" applyAlignment="1">
      <alignment/>
    </xf>
    <xf numFmtId="49" fontId="84"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7" applyNumberFormat="1" applyFont="1" applyFill="1" applyAlignment="1">
      <alignment/>
      <protection/>
    </xf>
    <xf numFmtId="49" fontId="101"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7" fillId="0" borderId="0" xfId="141" applyNumberFormat="1" applyFont="1" applyFill="1">
      <alignment/>
      <protection/>
    </xf>
    <xf numFmtId="49" fontId="24" fillId="0" borderId="27"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12" fillId="0" borderId="20"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3" fontId="8" fillId="0" borderId="20" xfId="141" applyNumberFormat="1" applyFont="1" applyFill="1" applyBorder="1" applyAlignment="1">
      <alignment horizontal="center" vertical="center"/>
      <protection/>
    </xf>
    <xf numFmtId="3" fontId="0" fillId="0" borderId="20" xfId="141" applyNumberFormat="1" applyFont="1" applyFill="1" applyBorder="1" applyAlignment="1">
      <alignment horizontal="center" vertical="center"/>
      <protection/>
    </xf>
    <xf numFmtId="0" fontId="10" fillId="0" borderId="0" xfId="141"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0" fillId="0" borderId="0" xfId="137" applyNumberFormat="1" applyFont="1" applyFill="1" applyBorder="1" applyAlignment="1">
      <alignment horizontal="center" wrapText="1"/>
      <protection/>
    </xf>
    <xf numFmtId="0" fontId="67"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4"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7" applyNumberFormat="1" applyFont="1" applyFill="1" applyAlignment="1">
      <alignment/>
      <protection/>
    </xf>
    <xf numFmtId="0" fontId="110" fillId="0" borderId="0" xfId="141" applyNumberFormat="1" applyFont="1" applyFill="1">
      <alignment/>
      <protection/>
    </xf>
    <xf numFmtId="0" fontId="0" fillId="0" borderId="0" xfId="141" applyFont="1" applyFill="1" applyBorder="1" applyAlignment="1">
      <alignment horizontal="left"/>
      <protection/>
    </xf>
    <xf numFmtId="3" fontId="17" fillId="0" borderId="20" xfId="141" applyNumberFormat="1" applyFont="1" applyFill="1" applyBorder="1" applyAlignment="1">
      <alignment horizontal="center" vertical="center" wrapText="1"/>
      <protection/>
    </xf>
    <xf numFmtId="3" fontId="29" fillId="0" borderId="20"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left"/>
      <protection/>
    </xf>
    <xf numFmtId="0" fontId="36" fillId="0" borderId="0" xfId="141" applyNumberFormat="1" applyFont="1" applyFill="1">
      <alignment/>
      <protection/>
    </xf>
    <xf numFmtId="0" fontId="36" fillId="0" borderId="0" xfId="141" applyNumberFormat="1" applyFont="1" applyFill="1" applyAlignment="1">
      <alignment horizontal="center"/>
      <protection/>
    </xf>
    <xf numFmtId="0" fontId="93" fillId="0" borderId="0" xfId="141" applyNumberFormat="1" applyFont="1" applyFill="1">
      <alignment/>
      <protection/>
    </xf>
    <xf numFmtId="0" fontId="30" fillId="0" borderId="0" xfId="137" applyNumberFormat="1" applyFont="1" applyFill="1" applyAlignment="1">
      <alignment/>
      <protection/>
    </xf>
    <xf numFmtId="49" fontId="23" fillId="0" borderId="0" xfId="141" applyNumberFormat="1" applyFont="1" applyFill="1" applyAlignment="1">
      <alignment wrapText="1"/>
      <protection/>
    </xf>
    <xf numFmtId="0" fontId="84" fillId="0" borderId="0" xfId="141" applyNumberFormat="1" applyFont="1" applyFill="1">
      <alignment/>
      <protection/>
    </xf>
    <xf numFmtId="0" fontId="84" fillId="0" borderId="0" xfId="141" applyNumberFormat="1" applyFont="1" applyFill="1" applyAlignment="1">
      <alignment horizontal="center"/>
      <protection/>
    </xf>
    <xf numFmtId="0" fontId="77" fillId="0" borderId="0" xfId="141" applyNumberFormat="1" applyFont="1" applyFill="1" applyAlignment="1">
      <alignment horizontal="left"/>
      <protection/>
    </xf>
    <xf numFmtId="0" fontId="36" fillId="0" borderId="0" xfId="141" applyNumberFormat="1" applyFont="1" applyFill="1" applyAlignment="1">
      <alignment/>
      <protection/>
    </xf>
    <xf numFmtId="49" fontId="0"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23" fillId="0" borderId="0" xfId="141" applyNumberFormat="1" applyFont="1" applyFill="1" applyAlignment="1">
      <alignment horizontal="left" wrapText="1"/>
      <protection/>
    </xf>
    <xf numFmtId="49" fontId="0" fillId="0" borderId="0" xfId="141" applyNumberFormat="1" applyFont="1" applyFill="1" applyBorder="1" applyAlignment="1">
      <alignment/>
      <protection/>
    </xf>
    <xf numFmtId="0" fontId="30" fillId="0" borderId="0" xfId="141" applyNumberFormat="1" applyFont="1" applyFill="1">
      <alignment/>
      <protection/>
    </xf>
    <xf numFmtId="0" fontId="7" fillId="0" borderId="0" xfId="141" applyNumberFormat="1" applyFont="1" applyFill="1">
      <alignment/>
      <protection/>
    </xf>
    <xf numFmtId="0" fontId="34" fillId="0" borderId="0" xfId="141" applyNumberFormat="1" applyFont="1" applyFill="1" applyBorder="1" applyAlignment="1">
      <alignment wrapText="1"/>
      <protection/>
    </xf>
    <xf numFmtId="0" fontId="77" fillId="0" borderId="0" xfId="141" applyNumberFormat="1" applyFont="1" applyFill="1" applyAlignment="1">
      <alignment horizontal="center"/>
      <protection/>
    </xf>
    <xf numFmtId="0" fontId="36" fillId="0" borderId="0" xfId="141"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3" fillId="0" borderId="0" xfId="141" applyNumberFormat="1" applyFont="1" applyFill="1" applyBorder="1" applyAlignment="1">
      <alignment horizontal="center" vertical="center"/>
      <protection/>
    </xf>
    <xf numFmtId="0" fontId="112"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3" fontId="39" fillId="49" borderId="20" xfId="0" applyNumberFormat="1" applyFont="1" applyFill="1" applyBorder="1" applyAlignment="1" applyProtection="1">
      <alignment horizontal="right"/>
      <protection locked="0"/>
    </xf>
    <xf numFmtId="3" fontId="39" fillId="49"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protection locked="0"/>
    </xf>
    <xf numFmtId="2" fontId="115" fillId="0" borderId="0" xfId="0" applyNumberFormat="1" applyFont="1" applyFill="1" applyAlignment="1">
      <alignment/>
    </xf>
    <xf numFmtId="3" fontId="114" fillId="0"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3" fontId="8" fillId="47" borderId="23"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3" fontId="0" fillId="47" borderId="20" xfId="0" applyNumberFormat="1" applyFont="1" applyFill="1" applyBorder="1" applyAlignment="1" applyProtection="1">
      <alignment/>
      <protection locked="0"/>
    </xf>
    <xf numFmtId="3" fontId="114" fillId="47" borderId="21" xfId="0" applyNumberFormat="1" applyFont="1" applyFill="1" applyBorder="1" applyAlignment="1" applyProtection="1">
      <alignment/>
      <protection locked="0"/>
    </xf>
    <xf numFmtId="3" fontId="8" fillId="47" borderId="21" xfId="0" applyNumberFormat="1" applyFont="1" applyFill="1" applyBorder="1" applyAlignment="1" applyProtection="1">
      <alignment/>
      <protection locked="0"/>
    </xf>
    <xf numFmtId="3" fontId="12" fillId="49" borderId="20" xfId="0" applyNumberFormat="1" applyFont="1" applyFill="1" applyBorder="1" applyAlignment="1" applyProtection="1">
      <alignment horizontal="right"/>
      <protection locked="0"/>
    </xf>
    <xf numFmtId="3" fontId="10" fillId="47" borderId="21" xfId="0" applyNumberFormat="1" applyFont="1" applyFill="1" applyBorder="1" applyAlignment="1" applyProtection="1">
      <alignment/>
      <protection/>
    </xf>
    <xf numFmtId="3" fontId="10" fillId="47" borderId="20" xfId="0" applyNumberFormat="1" applyFont="1" applyFill="1" applyBorder="1" applyAlignment="1" applyProtection="1">
      <alignment/>
      <protection locked="0"/>
    </xf>
    <xf numFmtId="3" fontId="10" fillId="47" borderId="20" xfId="0" applyNumberFormat="1" applyFont="1" applyFill="1" applyBorder="1" applyAlignment="1" applyProtection="1">
      <alignment/>
      <protection/>
    </xf>
    <xf numFmtId="3" fontId="10" fillId="47" borderId="23" xfId="0" applyNumberFormat="1" applyFont="1" applyFill="1" applyBorder="1" applyAlignment="1" applyProtection="1">
      <alignment/>
      <protection locked="0"/>
    </xf>
    <xf numFmtId="172" fontId="11" fillId="48" borderId="26" xfId="93" applyNumberFormat="1" applyFont="1" applyFill="1" applyBorder="1" applyAlignment="1" applyProtection="1">
      <alignment horizontal="left" vertical="center" wrapText="1"/>
      <protection locked="0"/>
    </xf>
    <xf numFmtId="49" fontId="8" fillId="0" borderId="20" xfId="0" applyNumberFormat="1" applyFont="1" applyFill="1" applyBorder="1" applyAlignment="1" applyProtection="1">
      <alignment vertical="center"/>
      <protection locked="0"/>
    </xf>
    <xf numFmtId="172" fontId="117" fillId="0" borderId="20" xfId="93" applyNumberFormat="1" applyFont="1" applyFill="1" applyBorder="1" applyAlignment="1" applyProtection="1">
      <alignment vertical="center"/>
      <protection/>
    </xf>
    <xf numFmtId="173" fontId="11" fillId="0" borderId="20" xfId="140" applyNumberFormat="1" applyFont="1" applyBorder="1" applyAlignment="1">
      <alignment horizontal="right"/>
      <protection/>
    </xf>
    <xf numFmtId="49" fontId="10" fillId="47" borderId="20" xfId="0" applyNumberFormat="1" applyFont="1" applyFill="1" applyBorder="1" applyAlignment="1">
      <alignment horizontal="left"/>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3" fontId="39" fillId="0" borderId="20" xfId="0" applyNumberFormat="1" applyFont="1" applyFill="1" applyBorder="1" applyAlignment="1" applyProtection="1">
      <alignment horizontal="right"/>
      <protection locked="0"/>
    </xf>
    <xf numFmtId="3" fontId="8"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vertical="center"/>
      <protection/>
    </xf>
    <xf numFmtId="3" fontId="12" fillId="47" borderId="20" xfId="0" applyNumberFormat="1" applyFont="1" applyFill="1" applyBorder="1" applyAlignment="1" applyProtection="1">
      <alignment/>
      <protection locked="0"/>
    </xf>
    <xf numFmtId="3" fontId="12" fillId="0" borderId="20" xfId="135" applyNumberFormat="1" applyFont="1" applyFill="1" applyBorder="1" applyAlignment="1" applyProtection="1">
      <alignment vertical="center"/>
      <protection/>
    </xf>
    <xf numFmtId="3" fontId="39" fillId="49"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173" fontId="11" fillId="0" borderId="20" xfId="140" applyNumberFormat="1" applyFont="1" applyFill="1" applyBorder="1" applyAlignment="1">
      <alignment horizontal="right"/>
      <protection/>
    </xf>
    <xf numFmtId="173" fontId="11" fillId="47" borderId="20" xfId="140" applyNumberFormat="1" applyFont="1" applyFill="1" applyBorder="1" applyAlignment="1">
      <alignment horizontal="right"/>
      <protection/>
    </xf>
    <xf numFmtId="3" fontId="32" fillId="0" borderId="20" xfId="141" applyNumberFormat="1" applyFont="1" applyFill="1" applyBorder="1" applyAlignment="1">
      <alignment vertical="center"/>
      <protection/>
    </xf>
    <xf numFmtId="0" fontId="30" fillId="0" borderId="0" xfId="137" applyNumberFormat="1" applyFont="1" applyFill="1" applyAlignment="1">
      <alignment horizontal="center"/>
      <protection/>
    </xf>
    <xf numFmtId="49" fontId="23" fillId="0" borderId="0" xfId="137" applyNumberFormat="1" applyFont="1" applyFill="1" applyBorder="1" applyAlignment="1">
      <alignment horizontal="left"/>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18" fillId="0" borderId="0" xfId="137" applyNumberFormat="1" applyFont="1" applyFill="1" applyBorder="1" applyAlignment="1">
      <alignment horizontal="center"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173" fontId="17" fillId="0" borderId="20" xfId="0" applyNumberFormat="1" applyFont="1" applyFill="1" applyBorder="1" applyAlignment="1">
      <alignment horizontal="right" vertical="center" wrapText="1"/>
    </xf>
    <xf numFmtId="173" fontId="29" fillId="0" borderId="20" xfId="0" applyNumberFormat="1" applyFont="1" applyFill="1" applyBorder="1" applyAlignment="1">
      <alignment horizontal="right"/>
    </xf>
    <xf numFmtId="173" fontId="29" fillId="0" borderId="20" xfId="0" applyNumberFormat="1" applyFont="1" applyFill="1" applyBorder="1" applyAlignment="1">
      <alignment horizontal="right" vertical="center" wrapText="1"/>
    </xf>
    <xf numFmtId="49" fontId="8" fillId="0" borderId="21" xfId="137" applyNumberFormat="1" applyFont="1" applyFill="1" applyBorder="1" applyAlignment="1">
      <alignment horizontal="center" vertical="center" wrapText="1"/>
      <protection/>
    </xf>
    <xf numFmtId="49" fontId="118" fillId="0" borderId="20" xfId="137" applyNumberFormat="1" applyFont="1" applyFill="1" applyBorder="1" applyAlignment="1">
      <alignment horizontal="center" vertical="center" wrapText="1"/>
      <protection/>
    </xf>
    <xf numFmtId="49" fontId="8" fillId="0" borderId="0" xfId="0" applyNumberFormat="1" applyFont="1" applyFill="1" applyAlignment="1">
      <alignment horizontal="right"/>
    </xf>
    <xf numFmtId="49" fontId="8" fillId="0" borderId="39" xfId="0" applyNumberFormat="1" applyFont="1" applyFill="1" applyBorder="1" applyAlignment="1" applyProtection="1">
      <alignment horizontal="center" vertical="center"/>
      <protection/>
    </xf>
    <xf numFmtId="0" fontId="11" fillId="0" borderId="0" xfId="141" applyNumberFormat="1" applyFont="1" applyFill="1" applyBorder="1" applyAlignment="1">
      <alignment horizontal="left"/>
      <protection/>
    </xf>
    <xf numFmtId="0" fontId="10" fillId="0" borderId="0" xfId="141" applyNumberFormat="1" applyFont="1" applyFill="1" applyBorder="1" applyAlignment="1">
      <alignment horizontal="left"/>
      <protection/>
    </xf>
    <xf numFmtId="49" fontId="10" fillId="0" borderId="0" xfId="141" applyNumberFormat="1" applyFont="1" applyFill="1" applyBorder="1" applyAlignment="1">
      <alignment horizontal="left"/>
      <protection/>
    </xf>
    <xf numFmtId="0" fontId="11" fillId="0" borderId="0" xfId="141" applyNumberFormat="1" applyFont="1" applyFill="1" applyBorder="1" applyAlignment="1">
      <alignment/>
      <protection/>
    </xf>
    <xf numFmtId="0" fontId="31" fillId="0" borderId="0" xfId="141" applyFont="1" applyFill="1">
      <alignment/>
      <protection/>
    </xf>
    <xf numFmtId="3" fontId="11" fillId="0" borderId="20" xfId="0" applyNumberFormat="1" applyFont="1" applyFill="1" applyBorder="1" applyAlignment="1" applyProtection="1">
      <alignment/>
      <protection/>
    </xf>
    <xf numFmtId="3" fontId="116" fillId="49" borderId="20" xfId="0" applyNumberFormat="1" applyFont="1" applyFill="1" applyBorder="1" applyAlignment="1" applyProtection="1">
      <alignment/>
      <protection locked="0"/>
    </xf>
    <xf numFmtId="3" fontId="116" fillId="49" borderId="20" xfId="0" applyNumberFormat="1" applyFont="1" applyFill="1" applyBorder="1" applyAlignment="1" applyProtection="1">
      <alignment/>
      <protection/>
    </xf>
    <xf numFmtId="3" fontId="116" fillId="49" borderId="23" xfId="0" applyNumberFormat="1" applyFont="1" applyFill="1" applyBorder="1" applyAlignment="1" applyProtection="1">
      <alignment/>
      <protection locked="0"/>
    </xf>
    <xf numFmtId="3" fontId="116" fillId="49" borderId="23" xfId="0" applyNumberFormat="1" applyFont="1" applyFill="1" applyBorder="1" applyAlignment="1" applyProtection="1">
      <alignment/>
      <protection/>
    </xf>
    <xf numFmtId="173" fontId="119" fillId="0" borderId="20" xfId="0" applyNumberFormat="1" applyFont="1" applyFill="1" applyBorder="1" applyAlignment="1">
      <alignment horizontal="right"/>
    </xf>
    <xf numFmtId="173" fontId="119" fillId="0" borderId="20" xfId="0" applyNumberFormat="1" applyFont="1" applyFill="1" applyBorder="1" applyAlignment="1">
      <alignment horizontal="right" vertical="center" wrapText="1"/>
    </xf>
    <xf numFmtId="3" fontId="120" fillId="0" borderId="20" xfId="0" applyNumberFormat="1" applyFont="1" applyFill="1" applyBorder="1" applyAlignment="1" applyProtection="1">
      <alignment/>
      <protection/>
    </xf>
    <xf numFmtId="0" fontId="25" fillId="49" borderId="20" xfId="0" applyFont="1" applyFill="1" applyBorder="1" applyAlignment="1">
      <alignment/>
    </xf>
    <xf numFmtId="0" fontId="0" fillId="49" borderId="40" xfId="0" applyFill="1" applyBorder="1" applyAlignment="1">
      <alignment/>
    </xf>
    <xf numFmtId="2" fontId="65" fillId="0" borderId="0" xfId="0" applyNumberFormat="1" applyFont="1" applyFill="1" applyAlignment="1">
      <alignment/>
    </xf>
    <xf numFmtId="2" fontId="65" fillId="0" borderId="0" xfId="0" applyNumberFormat="1" applyFont="1" applyFill="1" applyAlignment="1">
      <alignment/>
    </xf>
    <xf numFmtId="3" fontId="0" fillId="47" borderId="20" xfId="0" applyNumberFormat="1" applyFont="1" applyFill="1" applyBorder="1" applyAlignment="1" applyProtection="1">
      <alignment/>
      <protection locked="0"/>
    </xf>
    <xf numFmtId="3" fontId="0" fillId="47" borderId="21" xfId="0" applyNumberFormat="1" applyFont="1" applyFill="1" applyBorder="1" applyAlignment="1" applyProtection="1">
      <alignment/>
      <protection locked="0"/>
    </xf>
    <xf numFmtId="3" fontId="0" fillId="47" borderId="23" xfId="0" applyNumberFormat="1" applyFont="1" applyFill="1" applyBorder="1" applyAlignment="1" applyProtection="1">
      <alignment/>
      <protection locked="0"/>
    </xf>
    <xf numFmtId="0" fontId="65" fillId="0" borderId="0" xfId="0" applyFont="1" applyFill="1" applyAlignment="1">
      <alignment/>
    </xf>
    <xf numFmtId="3" fontId="0" fillId="47" borderId="20" xfId="0" applyNumberFormat="1" applyFill="1" applyBorder="1" applyAlignment="1" applyProtection="1">
      <alignment/>
      <protection locked="0"/>
    </xf>
    <xf numFmtId="3" fontId="37" fillId="47" borderId="21" xfId="0" applyNumberFormat="1" applyFont="1" applyFill="1" applyBorder="1" applyAlignment="1" applyProtection="1">
      <alignment/>
      <protection locked="0"/>
    </xf>
    <xf numFmtId="3" fontId="25" fillId="47" borderId="21" xfId="0" applyNumberFormat="1" applyFont="1" applyFill="1" applyBorder="1" applyAlignment="1" applyProtection="1">
      <alignment/>
      <protection locked="0"/>
    </xf>
    <xf numFmtId="174" fontId="11" fillId="47" borderId="21" xfId="0" applyNumberFormat="1" applyFont="1" applyFill="1" applyBorder="1" applyAlignment="1" applyProtection="1">
      <alignment/>
      <protection locked="0"/>
    </xf>
    <xf numFmtId="174" fontId="11" fillId="47" borderId="20" xfId="0" applyNumberFormat="1" applyFont="1" applyFill="1" applyBorder="1" applyAlignment="1" applyProtection="1">
      <alignment/>
      <protection locked="0"/>
    </xf>
    <xf numFmtId="174" fontId="10" fillId="47" borderId="20" xfId="0" applyNumberFormat="1" applyFont="1" applyFill="1" applyBorder="1" applyAlignment="1" applyProtection="1">
      <alignment/>
      <protection locked="0"/>
    </xf>
    <xf numFmtId="174" fontId="11" fillId="47" borderId="23" xfId="0" applyNumberFormat="1" applyFont="1" applyFill="1" applyBorder="1" applyAlignment="1" applyProtection="1">
      <alignment/>
      <protection locked="0"/>
    </xf>
    <xf numFmtId="172" fontId="0" fillId="0" borderId="20" xfId="93" applyNumberFormat="1" applyFont="1" applyBorder="1" applyAlignment="1">
      <alignment/>
    </xf>
    <xf numFmtId="172" fontId="40" fillId="0" borderId="20" xfId="93" applyNumberFormat="1" applyFont="1" applyBorder="1" applyAlignment="1">
      <alignment/>
    </xf>
    <xf numFmtId="174" fontId="11" fillId="50" borderId="20" xfId="0" applyNumberFormat="1" applyFont="1" applyFill="1" applyBorder="1" applyAlignment="1" applyProtection="1">
      <alignment/>
      <protection locked="0"/>
    </xf>
    <xf numFmtId="174" fontId="10" fillId="50" borderId="20" xfId="0" applyNumberFormat="1" applyFont="1" applyFill="1" applyBorder="1" applyAlignment="1" applyProtection="1">
      <alignment/>
      <protection locked="0"/>
    </xf>
    <xf numFmtId="174" fontId="10" fillId="50" borderId="23" xfId="0" applyNumberFormat="1" applyFont="1" applyFill="1" applyBorder="1" applyAlignment="1" applyProtection="1">
      <alignment/>
      <protection locked="0"/>
    </xf>
    <xf numFmtId="174" fontId="10" fillId="51" borderId="20" xfId="0" applyNumberFormat="1" applyFont="1" applyFill="1" applyBorder="1" applyAlignment="1" applyProtection="1">
      <alignment/>
      <protection locked="0"/>
    </xf>
    <xf numFmtId="174" fontId="10" fillId="51" borderId="23" xfId="0" applyNumberFormat="1" applyFont="1" applyFill="1" applyBorder="1" applyAlignment="1" applyProtection="1">
      <alignment/>
      <protection locked="0"/>
    </xf>
    <xf numFmtId="3" fontId="8" fillId="0" borderId="20" xfId="0" applyNumberFormat="1" applyFont="1" applyBorder="1" applyAlignment="1">
      <alignment/>
    </xf>
    <xf numFmtId="3" fontId="0" fillId="47" borderId="21" xfId="0" applyNumberFormat="1" applyFont="1" applyFill="1" applyBorder="1" applyAlignment="1">
      <alignment/>
    </xf>
    <xf numFmtId="3" fontId="114" fillId="0" borderId="20" xfId="0" applyNumberFormat="1" applyFont="1" applyFill="1" applyBorder="1" applyAlignment="1" applyProtection="1">
      <alignment horizontal="right"/>
      <protection locked="0"/>
    </xf>
    <xf numFmtId="172" fontId="0" fillId="48" borderId="20" xfId="93" applyNumberFormat="1" applyFont="1" applyFill="1" applyBorder="1" applyAlignment="1">
      <alignment/>
    </xf>
    <xf numFmtId="172" fontId="0" fillId="0" borderId="20" xfId="93" applyNumberFormat="1" applyFont="1" applyBorder="1" applyAlignment="1">
      <alignment horizontal="center"/>
    </xf>
    <xf numFmtId="172" fontId="40" fillId="0" borderId="23" xfId="93" applyNumberFormat="1" applyFont="1" applyBorder="1" applyAlignment="1">
      <alignment/>
    </xf>
    <xf numFmtId="172" fontId="0" fillId="0" borderId="23" xfId="93" applyNumberFormat="1" applyFont="1" applyBorder="1" applyAlignment="1">
      <alignment/>
    </xf>
    <xf numFmtId="174" fontId="10" fillId="47" borderId="20" xfId="0" applyNumberFormat="1" applyFont="1" applyFill="1" applyBorder="1" applyAlignment="1" applyProtection="1">
      <alignment horizontal="right" vertical="center"/>
      <protection locked="0"/>
    </xf>
    <xf numFmtId="0" fontId="10" fillId="0" borderId="20" xfId="0" applyFont="1" applyBorder="1" applyAlignment="1">
      <alignment horizontal="center" vertical="center" wrapText="1"/>
    </xf>
    <xf numFmtId="0" fontId="10" fillId="0" borderId="20" xfId="0" applyFont="1" applyBorder="1" applyAlignment="1">
      <alignment horizontal="center" wrapText="1"/>
    </xf>
    <xf numFmtId="0" fontId="10"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horizontal="center"/>
    </xf>
    <xf numFmtId="0" fontId="24" fillId="0" borderId="20" xfId="0" applyFont="1" applyFill="1" applyBorder="1" applyAlignment="1">
      <alignment horizontal="center"/>
    </xf>
    <xf numFmtId="0" fontId="10" fillId="0" borderId="20" xfId="0" applyFont="1" applyBorder="1" applyAlignment="1">
      <alignment vertical="center" wrapText="1"/>
    </xf>
    <xf numFmtId="172" fontId="0" fillId="47" borderId="20" xfId="93" applyNumberFormat="1" applyFont="1" applyFill="1" applyBorder="1" applyAlignment="1">
      <alignment/>
    </xf>
    <xf numFmtId="172" fontId="0" fillId="47" borderId="23" xfId="93" applyNumberFormat="1" applyFont="1" applyFill="1" applyBorder="1" applyAlignment="1">
      <alignment/>
    </xf>
    <xf numFmtId="3" fontId="10" fillId="0" borderId="20" xfId="141" applyNumberFormat="1" applyFont="1" applyFill="1" applyBorder="1" applyAlignment="1">
      <alignment horizontal="center" vertical="center" wrapText="1"/>
      <protection/>
    </xf>
    <xf numFmtId="3" fontId="24" fillId="0" borderId="20" xfId="141" applyNumberFormat="1" applyFont="1" applyFill="1" applyBorder="1" applyAlignment="1">
      <alignment horizontal="center" vertical="center" wrapText="1"/>
      <protection/>
    </xf>
    <xf numFmtId="3" fontId="32" fillId="0" borderId="20" xfId="141" applyNumberFormat="1" applyFont="1" applyFill="1" applyBorder="1" applyAlignment="1">
      <alignment horizontal="center" vertical="center" wrapText="1"/>
      <protection/>
    </xf>
    <xf numFmtId="3" fontId="10" fillId="0" borderId="20" xfId="141" applyNumberFormat="1" applyFont="1" applyFill="1" applyBorder="1" applyAlignment="1">
      <alignment horizontal="right" vertical="center" wrapText="1"/>
      <protection/>
    </xf>
    <xf numFmtId="3" fontId="32" fillId="0" borderId="20" xfId="141" applyNumberFormat="1" applyFont="1" applyFill="1" applyBorder="1" applyAlignment="1">
      <alignment horizontal="right" vertical="center" wrapText="1"/>
      <protection/>
    </xf>
    <xf numFmtId="49" fontId="29" fillId="0" borderId="0" xfId="0" applyNumberFormat="1" applyFont="1" applyFill="1" applyAlignment="1">
      <alignment/>
    </xf>
    <xf numFmtId="49" fontId="29" fillId="0" borderId="0" xfId="0" applyNumberFormat="1" applyFont="1" applyFill="1" applyAlignment="1">
      <alignment/>
    </xf>
    <xf numFmtId="49" fontId="29" fillId="0" borderId="0" xfId="0" applyNumberFormat="1" applyFont="1" applyFill="1" applyBorder="1" applyAlignment="1">
      <alignment/>
    </xf>
    <xf numFmtId="49" fontId="109" fillId="0" borderId="0" xfId="0" applyNumberFormat="1" applyFont="1" applyFill="1" applyAlignment="1">
      <alignment/>
    </xf>
    <xf numFmtId="49" fontId="29" fillId="0" borderId="0" xfId="0" applyNumberFormat="1" applyFont="1" applyFill="1" applyAlignment="1">
      <alignment horizontal="center"/>
    </xf>
    <xf numFmtId="49" fontId="17" fillId="0" borderId="0" xfId="0" applyNumberFormat="1" applyFont="1" applyFill="1" applyAlignment="1">
      <alignment/>
    </xf>
    <xf numFmtId="49" fontId="29" fillId="0" borderId="0" xfId="0" applyNumberFormat="1" applyFont="1" applyFill="1" applyAlignment="1">
      <alignment horizontal="right"/>
    </xf>
    <xf numFmtId="49" fontId="29" fillId="0" borderId="20" xfId="0" applyNumberFormat="1" applyFont="1" applyFill="1" applyBorder="1" applyAlignment="1" applyProtection="1">
      <alignment horizontal="center" vertical="center" wrapText="1"/>
      <protection/>
    </xf>
    <xf numFmtId="49" fontId="29"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protection/>
    </xf>
    <xf numFmtId="49" fontId="109" fillId="0" borderId="38" xfId="0" applyNumberFormat="1" applyFont="1" applyFill="1" applyBorder="1" applyAlignment="1" applyProtection="1">
      <alignment horizontal="center" vertical="center"/>
      <protection/>
    </xf>
    <xf numFmtId="172" fontId="17" fillId="48" borderId="20" xfId="93" applyNumberFormat="1" applyFont="1" applyFill="1" applyBorder="1" applyAlignment="1" applyProtection="1">
      <alignment horizontal="center" vertical="center"/>
      <protection locked="0"/>
    </xf>
    <xf numFmtId="172" fontId="29" fillId="0" borderId="20" xfId="93" applyNumberFormat="1" applyFont="1" applyFill="1" applyBorder="1" applyAlignment="1" applyProtection="1">
      <alignment horizontal="center" vertical="center"/>
      <protection locked="0"/>
    </xf>
    <xf numFmtId="0" fontId="29" fillId="0" borderId="41" xfId="135" applyNumberFormat="1" applyFont="1" applyFill="1" applyBorder="1" applyAlignment="1" applyProtection="1">
      <alignment horizontal="center" vertical="center"/>
      <protection/>
    </xf>
    <xf numFmtId="0" fontId="29" fillId="0" borderId="0" xfId="0" applyNumberFormat="1" applyFont="1" applyFill="1" applyBorder="1" applyAlignment="1">
      <alignment horizontal="center" wrapText="1"/>
    </xf>
    <xf numFmtId="0" fontId="17" fillId="0" borderId="0" xfId="0" applyNumberFormat="1" applyFont="1" applyFill="1" applyBorder="1" applyAlignment="1">
      <alignment/>
    </xf>
    <xf numFmtId="0" fontId="17" fillId="0" borderId="0" xfId="0" applyNumberFormat="1" applyFont="1" applyFill="1" applyBorder="1" applyAlignment="1">
      <alignment horizontal="center" wrapText="1"/>
    </xf>
    <xf numFmtId="2" fontId="162" fillId="0" borderId="0" xfId="0" applyNumberFormat="1" applyFont="1" applyFill="1" applyAlignment="1">
      <alignment/>
    </xf>
    <xf numFmtId="174" fontId="11" fillId="50" borderId="21" xfId="0" applyNumberFormat="1" applyFont="1" applyFill="1" applyBorder="1" applyAlignment="1" applyProtection="1">
      <alignment/>
      <protection locked="0"/>
    </xf>
    <xf numFmtId="174" fontId="11" fillId="50" borderId="23" xfId="0" applyNumberFormat="1" applyFont="1" applyFill="1" applyBorder="1" applyAlignment="1" applyProtection="1">
      <alignment/>
      <protection locked="0"/>
    </xf>
    <xf numFmtId="0" fontId="162" fillId="0" borderId="0" xfId="0" applyFont="1" applyFill="1" applyAlignment="1">
      <alignment/>
    </xf>
    <xf numFmtId="172" fontId="31" fillId="48" borderId="20" xfId="93" applyNumberFormat="1" applyFont="1" applyFill="1" applyBorder="1" applyAlignment="1" applyProtection="1">
      <alignment horizontal="center" vertical="center"/>
      <protection locked="0"/>
    </xf>
    <xf numFmtId="3" fontId="121" fillId="0" borderId="20" xfId="0" applyNumberFormat="1" applyFont="1" applyFill="1" applyBorder="1" applyAlignment="1" applyProtection="1">
      <alignment/>
      <protection locked="0"/>
    </xf>
    <xf numFmtId="172" fontId="0" fillId="0" borderId="23" xfId="93" applyNumberFormat="1" applyFont="1" applyBorder="1" applyAlignment="1">
      <alignment horizontal="right"/>
    </xf>
    <xf numFmtId="3" fontId="32" fillId="0" borderId="20" xfId="141" applyNumberFormat="1" applyFont="1" applyFill="1" applyBorder="1" applyAlignment="1">
      <alignment horizontal="right" vertical="center"/>
      <protection/>
    </xf>
    <xf numFmtId="173" fontId="29" fillId="0"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xf>
    <xf numFmtId="173" fontId="29" fillId="47" borderId="20" xfId="0" applyNumberFormat="1" applyFont="1" applyFill="1" applyBorder="1" applyAlignment="1" applyProtection="1">
      <alignment horizontal="right" vertical="center"/>
      <protection locked="0"/>
    </xf>
    <xf numFmtId="3" fontId="29" fillId="47" borderId="20" xfId="148" applyNumberFormat="1" applyFont="1" applyFill="1" applyBorder="1" applyAlignment="1" applyProtection="1">
      <alignment horizontal="right" vertical="center"/>
      <protection/>
    </xf>
    <xf numFmtId="3" fontId="29" fillId="47" borderId="20" xfId="0" applyNumberFormat="1" applyFont="1" applyFill="1" applyBorder="1" applyAlignment="1">
      <alignment horizontal="right" vertical="center"/>
    </xf>
    <xf numFmtId="3" fontId="25" fillId="47" borderId="20" xfId="0" applyNumberFormat="1" applyFont="1" applyFill="1" applyBorder="1" applyAlignment="1" applyProtection="1">
      <alignment/>
      <protection locked="0"/>
    </xf>
    <xf numFmtId="3" fontId="37" fillId="47" borderId="20" xfId="0" applyNumberFormat="1" applyFont="1" applyFill="1" applyBorder="1" applyAlignment="1" applyProtection="1">
      <alignment/>
      <protection locked="0"/>
    </xf>
    <xf numFmtId="3" fontId="10" fillId="0" borderId="20" xfId="135" applyNumberFormat="1" applyFont="1" applyFill="1" applyBorder="1" applyAlignment="1" applyProtection="1">
      <alignment horizontal="center" vertical="center"/>
      <protection/>
    </xf>
    <xf numFmtId="49" fontId="29" fillId="0" borderId="20" xfId="0" applyNumberFormat="1" applyFont="1" applyFill="1" applyBorder="1" applyAlignment="1" applyProtection="1">
      <alignment vertical="center"/>
      <protection locked="0"/>
    </xf>
    <xf numFmtId="49" fontId="29" fillId="0" borderId="21" xfId="0" applyNumberFormat="1" applyFont="1" applyFill="1" applyBorder="1" applyAlignment="1" applyProtection="1">
      <alignment vertical="center"/>
      <protection locked="0"/>
    </xf>
    <xf numFmtId="49" fontId="29" fillId="0" borderId="20" xfId="138" applyNumberFormat="1" applyFont="1" applyFill="1" applyBorder="1" applyAlignment="1" applyProtection="1">
      <alignment vertical="center"/>
      <protection locked="0"/>
    </xf>
    <xf numFmtId="174" fontId="10" fillId="47" borderId="23" xfId="0" applyNumberFormat="1" applyFont="1" applyFill="1" applyBorder="1" applyAlignment="1" applyProtection="1">
      <alignment/>
      <protection locked="0"/>
    </xf>
    <xf numFmtId="174" fontId="10" fillId="50" borderId="21" xfId="0" applyNumberFormat="1" applyFont="1" applyFill="1" applyBorder="1" applyAlignment="1" applyProtection="1">
      <alignment/>
      <protection locked="0"/>
    </xf>
    <xf numFmtId="174" fontId="10" fillId="50" borderId="20" xfId="0" applyNumberFormat="1" applyFont="1" applyFill="1" applyBorder="1" applyAlignment="1" applyProtection="1">
      <alignment horizontal="right"/>
      <protection locked="0"/>
    </xf>
    <xf numFmtId="172" fontId="40" fillId="0" borderId="20" xfId="93" applyNumberFormat="1" applyFont="1" applyBorder="1" applyAlignment="1">
      <alignment horizontal="center"/>
    </xf>
    <xf numFmtId="3" fontId="22" fillId="47" borderId="20" xfId="0" applyNumberFormat="1" applyFont="1" applyFill="1" applyBorder="1" applyAlignment="1" applyProtection="1">
      <alignment/>
      <protection locked="0"/>
    </xf>
    <xf numFmtId="3" fontId="7" fillId="47" borderId="20" xfId="0" applyNumberFormat="1" applyFont="1" applyFill="1" applyBorder="1" applyAlignment="1" applyProtection="1">
      <alignment/>
      <protection locked="0"/>
    </xf>
    <xf numFmtId="3" fontId="71" fillId="47" borderId="20" xfId="0" applyNumberFormat="1" applyFont="1" applyFill="1" applyBorder="1" applyAlignment="1" applyProtection="1">
      <alignment/>
      <protection locked="0"/>
    </xf>
    <xf numFmtId="49" fontId="0" fillId="0" borderId="20" xfId="0" applyNumberFormat="1" applyFill="1" applyBorder="1" applyAlignment="1">
      <alignment horizontal="center"/>
    </xf>
    <xf numFmtId="49" fontId="34" fillId="0" borderId="0" xfId="0" applyNumberFormat="1" applyFont="1" applyAlignment="1">
      <alignment horizontal="right"/>
    </xf>
    <xf numFmtId="174" fontId="11" fillId="50" borderId="20" xfId="0" applyNumberFormat="1" applyFont="1" applyFill="1" applyBorder="1" applyAlignment="1" applyProtection="1">
      <alignment/>
      <protection/>
    </xf>
    <xf numFmtId="49" fontId="17" fillId="0" borderId="0" xfId="0" applyNumberFormat="1" applyFont="1" applyFill="1" applyBorder="1" applyAlignment="1">
      <alignment horizontal="center"/>
    </xf>
    <xf numFmtId="2" fontId="11" fillId="0" borderId="0" xfId="0" applyNumberFormat="1" applyFont="1" applyFill="1" applyBorder="1" applyAlignment="1">
      <alignment horizontal="left" wrapText="1"/>
    </xf>
    <xf numFmtId="10" fontId="0" fillId="0" borderId="0" xfId="131" applyNumberFormat="1" applyFont="1" applyFill="1" applyBorder="1" applyAlignment="1">
      <alignment horizontal="right" vertical="center"/>
      <protection/>
    </xf>
    <xf numFmtId="49" fontId="17" fillId="0" borderId="0" xfId="0" applyNumberFormat="1" applyFont="1" applyFill="1" applyBorder="1" applyAlignment="1">
      <alignment horizontal="center" wrapText="1"/>
    </xf>
    <xf numFmtId="2" fontId="17" fillId="0" borderId="0" xfId="0" applyNumberFormat="1" applyFont="1" applyFill="1" applyBorder="1" applyAlignment="1">
      <alignment horizontal="left" wrapText="1"/>
    </xf>
    <xf numFmtId="10" fontId="12" fillId="0" borderId="0" xfId="131" applyNumberFormat="1" applyFont="1" applyFill="1" applyBorder="1" applyAlignment="1">
      <alignment horizontal="right" vertical="center"/>
      <protection/>
    </xf>
    <xf numFmtId="10" fontId="8" fillId="0" borderId="0" xfId="131" applyNumberFormat="1" applyFont="1" applyFill="1" applyBorder="1" applyAlignment="1">
      <alignment horizontal="right" vertical="center"/>
      <protection/>
    </xf>
    <xf numFmtId="174" fontId="10" fillId="51" borderId="21" xfId="0" applyNumberFormat="1" applyFont="1" applyFill="1" applyBorder="1" applyAlignment="1" applyProtection="1">
      <alignment/>
      <protection locked="0"/>
    </xf>
    <xf numFmtId="172" fontId="0" fillId="0" borderId="21" xfId="93" applyNumberFormat="1" applyFont="1" applyFill="1" applyBorder="1" applyAlignment="1">
      <alignment/>
    </xf>
    <xf numFmtId="172" fontId="0" fillId="0" borderId="20" xfId="93" applyNumberFormat="1" applyFont="1" applyFill="1" applyBorder="1" applyAlignment="1">
      <alignment/>
    </xf>
    <xf numFmtId="172" fontId="0" fillId="0" borderId="23" xfId="93" applyNumberFormat="1" applyFont="1" applyBorder="1" applyAlignment="1">
      <alignment/>
    </xf>
    <xf numFmtId="3" fontId="37" fillId="47" borderId="21" xfId="0" applyNumberFormat="1" applyFont="1" applyFill="1" applyBorder="1" applyAlignment="1" applyProtection="1">
      <alignment/>
      <protection/>
    </xf>
    <xf numFmtId="3" fontId="8" fillId="47" borderId="20" xfId="0" applyNumberFormat="1" applyFont="1" applyFill="1" applyBorder="1" applyAlignment="1" applyProtection="1">
      <alignment/>
      <protection/>
    </xf>
    <xf numFmtId="172" fontId="30" fillId="0" borderId="20" xfId="93" applyNumberFormat="1" applyFont="1" applyFill="1" applyBorder="1" applyAlignment="1" applyProtection="1">
      <alignment horizontal="center" vertical="center"/>
      <protection locked="0"/>
    </xf>
    <xf numFmtId="172" fontId="0" fillId="0" borderId="20" xfId="93" applyNumberFormat="1" applyFont="1" applyBorder="1" applyAlignment="1">
      <alignment/>
    </xf>
    <xf numFmtId="172" fontId="0" fillId="48" borderId="21" xfId="93" applyNumberFormat="1" applyFont="1" applyFill="1" applyBorder="1" applyAlignment="1">
      <alignment/>
    </xf>
    <xf numFmtId="172" fontId="0" fillId="48" borderId="21" xfId="93" applyNumberFormat="1" applyFont="1" applyFill="1" applyBorder="1" applyAlignment="1">
      <alignment horizontal="right"/>
    </xf>
    <xf numFmtId="172" fontId="0" fillId="47" borderId="20" xfId="93" applyNumberFormat="1" applyFont="1" applyFill="1" applyBorder="1" applyAlignment="1">
      <alignment/>
    </xf>
    <xf numFmtId="172" fontId="0" fillId="38" borderId="21" xfId="93" applyNumberFormat="1" applyFont="1" applyFill="1" applyBorder="1" applyAlignment="1">
      <alignment/>
    </xf>
    <xf numFmtId="172" fontId="40" fillId="47" borderId="20" xfId="93" applyNumberFormat="1" applyFont="1" applyFill="1" applyBorder="1" applyAlignment="1">
      <alignment/>
    </xf>
    <xf numFmtId="172" fontId="40" fillId="11" borderId="20" xfId="93" applyNumberFormat="1" applyFont="1" applyFill="1" applyBorder="1" applyAlignment="1">
      <alignment/>
    </xf>
    <xf numFmtId="172" fontId="40" fillId="47" borderId="23" xfId="93" applyNumberFormat="1" applyFont="1" applyFill="1" applyBorder="1" applyAlignment="1">
      <alignment/>
    </xf>
    <xf numFmtId="172" fontId="0" fillId="47" borderId="23" xfId="93" applyNumberFormat="1" applyFont="1" applyFill="1" applyBorder="1" applyAlignment="1">
      <alignment/>
    </xf>
    <xf numFmtId="172" fontId="40" fillId="11" borderId="23" xfId="93" applyNumberFormat="1" applyFont="1" applyFill="1" applyBorder="1" applyAlignment="1">
      <alignment/>
    </xf>
    <xf numFmtId="49" fontId="12" fillId="0" borderId="26" xfId="135" applyNumberFormat="1" applyFont="1" applyFill="1" applyBorder="1" applyAlignment="1">
      <alignment vertical="center" wrapText="1"/>
      <protection/>
    </xf>
    <xf numFmtId="3" fontId="0" fillId="0" borderId="21" xfId="0" applyNumberFormat="1" applyFont="1" applyBorder="1" applyAlignment="1">
      <alignment/>
    </xf>
    <xf numFmtId="174" fontId="10" fillId="47" borderId="21" xfId="0" applyNumberFormat="1" applyFont="1" applyFill="1" applyBorder="1" applyAlignment="1" applyProtection="1">
      <alignment horizontal="center" vertical="center"/>
      <protection locked="0"/>
    </xf>
    <xf numFmtId="174" fontId="10" fillId="47" borderId="20" xfId="0" applyNumberFormat="1" applyFont="1" applyFill="1" applyBorder="1" applyAlignment="1" applyProtection="1">
      <alignment horizontal="center" vertical="center"/>
      <protection locked="0"/>
    </xf>
    <xf numFmtId="174" fontId="10" fillId="47" borderId="23" xfId="0" applyNumberFormat="1" applyFont="1" applyFill="1" applyBorder="1" applyAlignment="1" applyProtection="1">
      <alignment horizontal="center" vertical="center"/>
      <protection locked="0"/>
    </xf>
    <xf numFmtId="49" fontId="0" fillId="0" borderId="0" xfId="137" applyNumberFormat="1" applyFont="1" applyFill="1" applyAlignment="1">
      <alignment vertical="center"/>
      <protection/>
    </xf>
    <xf numFmtId="3" fontId="11" fillId="0" borderId="20" xfId="135" applyNumberFormat="1" applyFont="1" applyFill="1" applyBorder="1" applyAlignment="1" applyProtection="1">
      <alignment horizontal="center" vertical="center"/>
      <protection/>
    </xf>
    <xf numFmtId="172" fontId="0" fillId="48" borderId="21" xfId="93" applyNumberFormat="1" applyFont="1" applyFill="1" applyBorder="1" applyAlignment="1">
      <alignment/>
    </xf>
    <xf numFmtId="3" fontId="7" fillId="47" borderId="21" xfId="0" applyNumberFormat="1" applyFont="1" applyFill="1" applyBorder="1" applyAlignment="1">
      <alignment/>
    </xf>
    <xf numFmtId="172" fontId="17" fillId="44" borderId="20" xfId="93" applyNumberFormat="1" applyFont="1" applyFill="1" applyBorder="1" applyAlignment="1" applyProtection="1">
      <alignment vertical="center"/>
      <protection/>
    </xf>
    <xf numFmtId="172" fontId="29" fillId="0" borderId="20" xfId="93" applyNumberFormat="1" applyFont="1" applyFill="1" applyBorder="1" applyAlignment="1" applyProtection="1">
      <alignment horizontal="right" vertical="center"/>
      <protection/>
    </xf>
    <xf numFmtId="49" fontId="10" fillId="47" borderId="20" xfId="0" applyNumberFormat="1" applyFont="1" applyFill="1" applyBorder="1" applyAlignment="1" applyProtection="1">
      <alignment horizontal="center" vertical="center"/>
      <protection locked="0"/>
    </xf>
    <xf numFmtId="49" fontId="8" fillId="47" borderId="20" xfId="0" applyNumberFormat="1" applyFont="1" applyFill="1" applyBorder="1" applyAlignment="1" applyProtection="1">
      <alignment vertical="center"/>
      <protection locked="0"/>
    </xf>
    <xf numFmtId="3" fontId="8" fillId="0" borderId="20" xfId="135" applyNumberFormat="1" applyFont="1" applyFill="1" applyBorder="1" applyAlignment="1" applyProtection="1">
      <alignment vertical="center"/>
      <protection/>
    </xf>
    <xf numFmtId="3" fontId="12" fillId="0" borderId="20" xfId="135" applyNumberFormat="1" applyFont="1" applyFill="1" applyBorder="1" applyAlignment="1" applyProtection="1">
      <alignment vertical="center"/>
      <protection/>
    </xf>
    <xf numFmtId="10" fontId="7" fillId="0" borderId="20" xfId="131" applyNumberFormat="1" applyFont="1" applyFill="1" applyBorder="1" applyAlignment="1">
      <alignment horizontal="right" vertical="center"/>
      <protection/>
    </xf>
    <xf numFmtId="3" fontId="8" fillId="52" borderId="20" xfId="135" applyNumberFormat="1" applyFont="1" applyFill="1" applyBorder="1" applyAlignment="1" applyProtection="1">
      <alignment horizontal="center" vertical="center"/>
      <protection/>
    </xf>
    <xf numFmtId="10" fontId="11" fillId="0" borderId="20" xfId="131" applyNumberFormat="1" applyFont="1" applyFill="1" applyBorder="1" applyAlignment="1">
      <alignment horizontal="right" vertical="center"/>
      <protection/>
    </xf>
    <xf numFmtId="10" fontId="12" fillId="0" borderId="20" xfId="131" applyNumberFormat="1" applyFont="1" applyFill="1" applyBorder="1" applyAlignment="1">
      <alignment horizontal="right" vertical="center"/>
      <protection/>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locked="0"/>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xf>
    <xf numFmtId="49" fontId="163" fillId="0" borderId="20" xfId="137" applyNumberFormat="1" applyFont="1" applyFill="1" applyBorder="1" applyAlignment="1">
      <alignment horizontal="center" vertical="center"/>
      <protection/>
    </xf>
    <xf numFmtId="49" fontId="163" fillId="0" borderId="23" xfId="137" applyNumberFormat="1" applyFont="1" applyFill="1" applyBorder="1" applyAlignment="1">
      <alignment horizontal="center" vertical="center"/>
      <protection/>
    </xf>
    <xf numFmtId="49" fontId="164" fillId="47" borderId="20" xfId="0" applyNumberFormat="1" applyFont="1" applyFill="1" applyBorder="1" applyAlignment="1">
      <alignment horizontal="left"/>
    </xf>
    <xf numFmtId="49" fontId="164" fillId="0" borderId="20" xfId="0" applyNumberFormat="1" applyFont="1" applyFill="1" applyBorder="1" applyAlignment="1">
      <alignment horizontal="left"/>
    </xf>
    <xf numFmtId="49" fontId="165" fillId="0" borderId="0" xfId="137" applyNumberFormat="1" applyFont="1" applyFill="1">
      <alignment/>
      <protection/>
    </xf>
    <xf numFmtId="0" fontId="166" fillId="0" borderId="0" xfId="137" applyNumberFormat="1" applyFont="1" applyFill="1" applyBorder="1" applyAlignment="1">
      <alignment horizontal="center" wrapText="1"/>
      <protection/>
    </xf>
    <xf numFmtId="0" fontId="166" fillId="0" borderId="0" xfId="137" applyNumberFormat="1" applyFont="1" applyFill="1" applyBorder="1">
      <alignment/>
      <protection/>
    </xf>
    <xf numFmtId="49" fontId="164" fillId="52" borderId="20" xfId="0" applyNumberFormat="1" applyFont="1" applyFill="1" applyBorder="1" applyAlignment="1">
      <alignment horizontal="left"/>
    </xf>
    <xf numFmtId="49" fontId="163" fillId="53" borderId="20" xfId="137" applyNumberFormat="1" applyFont="1" applyFill="1" applyBorder="1" applyAlignment="1">
      <alignment horizontal="left" vertical="center"/>
      <protection/>
    </xf>
    <xf numFmtId="49" fontId="163" fillId="54" borderId="20" xfId="137" applyNumberFormat="1" applyFont="1" applyFill="1" applyBorder="1" applyAlignment="1">
      <alignment horizontal="left" vertical="center"/>
      <protection/>
    </xf>
    <xf numFmtId="173" fontId="29" fillId="0" borderId="20" xfId="0" applyNumberFormat="1" applyFont="1" applyFill="1" applyBorder="1" applyAlignment="1">
      <alignment horizontal="right" vertical="center" wrapText="1"/>
    </xf>
    <xf numFmtId="173" fontId="17" fillId="53" borderId="20" xfId="0" applyNumberFormat="1" applyFont="1" applyFill="1" applyBorder="1" applyAlignment="1">
      <alignment horizontal="right" vertical="center" wrapText="1"/>
    </xf>
    <xf numFmtId="49" fontId="12" fillId="16" borderId="20" xfId="137" applyNumberFormat="1" applyFont="1" applyFill="1" applyBorder="1" applyAlignment="1">
      <alignment horizontal="center"/>
      <protection/>
    </xf>
    <xf numFmtId="49" fontId="12" fillId="16" borderId="20" xfId="137" applyNumberFormat="1" applyFont="1" applyFill="1" applyBorder="1" applyAlignment="1">
      <alignment horizontal="left"/>
      <protection/>
    </xf>
    <xf numFmtId="173" fontId="29" fillId="16" borderId="20" xfId="0" applyNumberFormat="1" applyFont="1" applyFill="1" applyBorder="1" applyAlignment="1">
      <alignment horizontal="right"/>
    </xf>
    <xf numFmtId="173" fontId="29" fillId="16" borderId="20" xfId="0" applyNumberFormat="1" applyFont="1" applyFill="1" applyBorder="1" applyAlignment="1">
      <alignment horizontal="right" vertical="center" wrapText="1"/>
    </xf>
    <xf numFmtId="49" fontId="12" fillId="55" borderId="23" xfId="137" applyNumberFormat="1" applyFont="1" applyFill="1" applyBorder="1" applyAlignment="1">
      <alignment horizontal="center"/>
      <protection/>
    </xf>
    <xf numFmtId="49" fontId="12" fillId="55" borderId="20" xfId="137" applyNumberFormat="1" applyFont="1" applyFill="1" applyBorder="1" applyAlignment="1">
      <alignment horizontal="left"/>
      <protection/>
    </xf>
    <xf numFmtId="173" fontId="17" fillId="55" borderId="20" xfId="0" applyNumberFormat="1" applyFont="1" applyFill="1" applyBorder="1" applyAlignment="1">
      <alignment horizontal="right"/>
    </xf>
    <xf numFmtId="49" fontId="8" fillId="52" borderId="20" xfId="137" applyNumberFormat="1" applyFont="1" applyFill="1" applyBorder="1" applyAlignment="1">
      <alignment horizontal="center" vertical="center"/>
      <protection/>
    </xf>
    <xf numFmtId="49" fontId="10" fillId="52" borderId="20" xfId="0" applyNumberFormat="1" applyFont="1" applyFill="1" applyBorder="1" applyAlignment="1">
      <alignment horizontal="left"/>
    </xf>
    <xf numFmtId="49" fontId="12" fillId="54" borderId="20" xfId="137" applyNumberFormat="1" applyFont="1" applyFill="1" applyBorder="1" applyAlignment="1">
      <alignment horizontal="center" vertical="center"/>
      <protection/>
    </xf>
    <xf numFmtId="49" fontId="12" fillId="54" borderId="20" xfId="137" applyNumberFormat="1" applyFont="1" applyFill="1" applyBorder="1" applyAlignment="1">
      <alignment horizontal="left" vertical="center"/>
      <protection/>
    </xf>
    <xf numFmtId="49" fontId="12" fillId="56" borderId="20" xfId="137" applyNumberFormat="1" applyFont="1" applyFill="1" applyBorder="1" applyAlignment="1">
      <alignment horizontal="center" vertical="center"/>
      <protection/>
    </xf>
    <xf numFmtId="49" fontId="12" fillId="56" borderId="20" xfId="137" applyNumberFormat="1" applyFont="1" applyFill="1" applyBorder="1" applyAlignment="1">
      <alignment horizontal="left" vertical="center"/>
      <protection/>
    </xf>
    <xf numFmtId="3" fontId="29" fillId="0" borderId="37" xfId="141" applyNumberFormat="1" applyFont="1" applyFill="1" applyBorder="1" applyAlignment="1">
      <alignment horizontal="center" vertical="center" wrapText="1"/>
      <protection/>
    </xf>
    <xf numFmtId="3" fontId="10" fillId="56" borderId="20" xfId="141" applyNumberFormat="1" applyFont="1" applyFill="1" applyBorder="1" applyAlignment="1">
      <alignment horizontal="center" vertical="center"/>
      <protection/>
    </xf>
    <xf numFmtId="49" fontId="10" fillId="56" borderId="0" xfId="141" applyNumberFormat="1" applyFont="1" applyFill="1" applyAlignment="1">
      <alignment vertical="center"/>
      <protection/>
    </xf>
    <xf numFmtId="0" fontId="11" fillId="53" borderId="20" xfId="0" applyFont="1" applyFill="1" applyBorder="1" applyAlignment="1">
      <alignment horizontal="center" vertical="center"/>
    </xf>
    <xf numFmtId="0" fontId="11" fillId="53" borderId="20" xfId="0" applyFont="1" applyFill="1" applyBorder="1" applyAlignment="1">
      <alignment vertical="center"/>
    </xf>
    <xf numFmtId="3" fontId="10" fillId="53" borderId="20" xfId="141" applyNumberFormat="1" applyFont="1" applyFill="1" applyBorder="1" applyAlignment="1">
      <alignment horizontal="center" vertical="center"/>
      <protection/>
    </xf>
    <xf numFmtId="49" fontId="10" fillId="53" borderId="0" xfId="141" applyNumberFormat="1" applyFont="1" applyFill="1" applyAlignment="1">
      <alignment vertical="center"/>
      <protection/>
    </xf>
    <xf numFmtId="0" fontId="11" fillId="54" borderId="20" xfId="0" applyFont="1" applyFill="1" applyBorder="1" applyAlignment="1">
      <alignment horizontal="center" vertical="center"/>
    </xf>
    <xf numFmtId="0" fontId="11" fillId="54" borderId="20" xfId="0" applyFont="1" applyFill="1" applyBorder="1" applyAlignment="1">
      <alignment vertical="center"/>
    </xf>
    <xf numFmtId="3" fontId="10" fillId="54" borderId="20" xfId="141" applyNumberFormat="1" applyFont="1" applyFill="1" applyBorder="1" applyAlignment="1">
      <alignment horizontal="center" vertical="center"/>
      <protection/>
    </xf>
    <xf numFmtId="49" fontId="10" fillId="54" borderId="0" xfId="141" applyNumberFormat="1" applyFont="1" applyFill="1" applyAlignment="1">
      <alignment vertical="center"/>
      <protection/>
    </xf>
    <xf numFmtId="3" fontId="17" fillId="54" borderId="37" xfId="141" applyNumberFormat="1" applyFont="1" applyFill="1" applyBorder="1" applyAlignment="1">
      <alignment horizontal="center" vertical="center" wrapText="1"/>
      <protection/>
    </xf>
    <xf numFmtId="0" fontId="32" fillId="54" borderId="0" xfId="141" applyFont="1" applyFill="1" applyAlignment="1">
      <alignment vertical="center"/>
      <protection/>
    </xf>
    <xf numFmtId="0" fontId="11" fillId="56" borderId="20" xfId="141" applyFont="1" applyFill="1" applyBorder="1" applyAlignment="1">
      <alignment horizontal="center" vertical="center"/>
      <protection/>
    </xf>
    <xf numFmtId="0" fontId="11" fillId="56" borderId="20" xfId="141" applyFont="1" applyFill="1" applyBorder="1" applyAlignment="1">
      <alignment horizontal="left" vertical="center"/>
      <protection/>
    </xf>
    <xf numFmtId="0" fontId="32" fillId="57" borderId="0" xfId="141" applyFont="1" applyFill="1" applyAlignment="1">
      <alignment vertical="center"/>
      <protection/>
    </xf>
    <xf numFmtId="0" fontId="11" fillId="58" borderId="20" xfId="141" applyFont="1" applyFill="1" applyBorder="1" applyAlignment="1">
      <alignment horizontal="center" vertical="center"/>
      <protection/>
    </xf>
    <xf numFmtId="0" fontId="11" fillId="58" borderId="20" xfId="141" applyFont="1" applyFill="1" applyBorder="1" applyAlignment="1">
      <alignment horizontal="left" vertical="center"/>
      <protection/>
    </xf>
    <xf numFmtId="3" fontId="17" fillId="58" borderId="20" xfId="141" applyNumberFormat="1" applyFont="1" applyFill="1" applyBorder="1" applyAlignment="1">
      <alignment horizontal="center" vertical="center" wrapText="1"/>
      <protection/>
    </xf>
    <xf numFmtId="0" fontId="32" fillId="58" borderId="0" xfId="141" applyFont="1" applyFill="1" applyAlignment="1">
      <alignment vertical="center"/>
      <protection/>
    </xf>
    <xf numFmtId="0" fontId="11" fillId="6" borderId="23" xfId="141" applyFont="1" applyFill="1" applyBorder="1" applyAlignment="1">
      <alignment horizontal="center" vertical="center"/>
      <protection/>
    </xf>
    <xf numFmtId="0" fontId="11" fillId="17" borderId="23" xfId="141" applyFont="1" applyFill="1" applyBorder="1" applyAlignment="1">
      <alignment horizontal="center" vertical="center"/>
      <protection/>
    </xf>
    <xf numFmtId="49" fontId="11" fillId="17" borderId="20" xfId="141" applyNumberFormat="1" applyFont="1" applyFill="1" applyBorder="1" applyAlignment="1">
      <alignment horizontal="left" vertical="center"/>
      <protection/>
    </xf>
    <xf numFmtId="3" fontId="17" fillId="17" borderId="20" xfId="141" applyNumberFormat="1" applyFont="1" applyFill="1" applyBorder="1" applyAlignment="1">
      <alignment horizontal="center" vertical="center" wrapText="1"/>
      <protection/>
    </xf>
    <xf numFmtId="3" fontId="17" fillId="17" borderId="20" xfId="141" applyNumberFormat="1" applyFont="1" applyFill="1" applyBorder="1" applyAlignment="1">
      <alignment horizontal="center" vertical="center" wrapText="1"/>
      <protection/>
    </xf>
    <xf numFmtId="0" fontId="32" fillId="17" borderId="0" xfId="141" applyFont="1" applyFill="1" applyAlignment="1">
      <alignment vertical="center"/>
      <protection/>
    </xf>
    <xf numFmtId="3" fontId="17" fillId="17" borderId="37" xfId="141" applyNumberFormat="1" applyFont="1" applyFill="1" applyBorder="1" applyAlignment="1">
      <alignment horizontal="center" vertical="center" wrapText="1"/>
      <protection/>
    </xf>
    <xf numFmtId="49" fontId="17" fillId="17" borderId="0" xfId="141" applyNumberFormat="1" applyFont="1" applyFill="1" applyBorder="1" applyAlignment="1">
      <alignment vertical="center" textRotation="90" wrapText="1"/>
      <protection/>
    </xf>
    <xf numFmtId="49" fontId="32" fillId="17" borderId="0" xfId="141" applyNumberFormat="1" applyFont="1" applyFill="1" applyBorder="1" applyAlignment="1">
      <alignment vertical="center"/>
      <protection/>
    </xf>
    <xf numFmtId="49" fontId="32" fillId="17" borderId="0" xfId="141" applyNumberFormat="1" applyFont="1" applyFill="1" applyAlignment="1">
      <alignment vertical="center"/>
      <protection/>
    </xf>
    <xf numFmtId="49" fontId="32" fillId="56" borderId="0" xfId="141" applyNumberFormat="1" applyFont="1" applyFill="1" applyAlignment="1">
      <alignment vertical="center"/>
      <protection/>
    </xf>
    <xf numFmtId="49" fontId="12" fillId="16" borderId="20" xfId="141" applyNumberFormat="1" applyFont="1" applyFill="1" applyBorder="1" applyAlignment="1">
      <alignment horizontal="center" vertical="center"/>
      <protection/>
    </xf>
    <xf numFmtId="49" fontId="11" fillId="16" borderId="20" xfId="141" applyNumberFormat="1" applyFont="1" applyFill="1" applyBorder="1" applyAlignment="1">
      <alignment horizontal="left" vertical="center"/>
      <protection/>
    </xf>
    <xf numFmtId="3" fontId="17" fillId="16" borderId="37" xfId="141" applyNumberFormat="1" applyFont="1" applyFill="1" applyBorder="1" applyAlignment="1">
      <alignment horizontal="center" vertical="center" wrapText="1"/>
      <protection/>
    </xf>
    <xf numFmtId="49" fontId="29" fillId="16" borderId="0" xfId="141" applyNumberFormat="1" applyFont="1" applyFill="1" applyBorder="1" applyAlignment="1">
      <alignment vertical="center" textRotation="90" wrapText="1"/>
      <protection/>
    </xf>
    <xf numFmtId="49" fontId="32" fillId="16" borderId="0" xfId="141" applyNumberFormat="1" applyFont="1" applyFill="1" applyBorder="1" applyAlignment="1">
      <alignment vertical="center"/>
      <protection/>
    </xf>
    <xf numFmtId="49" fontId="32" fillId="16" borderId="0" xfId="141" applyNumberFormat="1" applyFont="1" applyFill="1" applyAlignment="1">
      <alignment vertical="center"/>
      <protection/>
    </xf>
    <xf numFmtId="49" fontId="32" fillId="6" borderId="0" xfId="141" applyNumberFormat="1" applyFont="1" applyFill="1" applyAlignment="1">
      <alignment vertical="center"/>
      <protection/>
    </xf>
    <xf numFmtId="49" fontId="12" fillId="53" borderId="23" xfId="141" applyNumberFormat="1" applyFont="1" applyFill="1" applyBorder="1" applyAlignment="1">
      <alignment horizontal="center" vertical="center"/>
      <protection/>
    </xf>
    <xf numFmtId="49" fontId="11" fillId="53" borderId="20" xfId="141" applyNumberFormat="1" applyFont="1" applyFill="1" applyBorder="1" applyAlignment="1">
      <alignment horizontal="left" vertical="center"/>
      <protection/>
    </xf>
    <xf numFmtId="3" fontId="17" fillId="53" borderId="37" xfId="141" applyNumberFormat="1" applyFont="1" applyFill="1" applyBorder="1" applyAlignment="1">
      <alignment horizontal="center" vertical="center" wrapText="1"/>
      <protection/>
    </xf>
    <xf numFmtId="49" fontId="32" fillId="53" borderId="0" xfId="141" applyNumberFormat="1" applyFont="1" applyFill="1" applyBorder="1" applyAlignment="1">
      <alignment vertical="center"/>
      <protection/>
    </xf>
    <xf numFmtId="49" fontId="32" fillId="53" borderId="0" xfId="141" applyNumberFormat="1" applyFont="1" applyFill="1" applyAlignment="1">
      <alignment vertical="center"/>
      <protection/>
    </xf>
    <xf numFmtId="0" fontId="32" fillId="53" borderId="0" xfId="141" applyFont="1" applyFill="1" applyAlignment="1">
      <alignment vertical="center"/>
      <protection/>
    </xf>
    <xf numFmtId="0" fontId="11" fillId="59" borderId="20" xfId="0" applyFont="1" applyFill="1" applyBorder="1" applyAlignment="1">
      <alignment horizontal="center" vertical="center"/>
    </xf>
    <xf numFmtId="0" fontId="11" fillId="59" borderId="20" xfId="0" applyFont="1" applyFill="1" applyBorder="1" applyAlignment="1">
      <alignment vertical="center"/>
    </xf>
    <xf numFmtId="0" fontId="32" fillId="59" borderId="0" xfId="141" applyFont="1" applyFill="1" applyAlignment="1">
      <alignment vertical="center"/>
      <protection/>
    </xf>
    <xf numFmtId="9" fontId="32" fillId="59" borderId="0" xfId="151" applyFont="1" applyFill="1" applyAlignment="1">
      <alignment vertical="center"/>
    </xf>
    <xf numFmtId="0" fontId="11" fillId="57" borderId="20" xfId="0" applyFont="1" applyFill="1" applyBorder="1" applyAlignment="1">
      <alignment horizontal="center" vertical="center"/>
    </xf>
    <xf numFmtId="0" fontId="11" fillId="57" borderId="20" xfId="0" applyFont="1" applyFill="1" applyBorder="1" applyAlignment="1">
      <alignment vertical="center"/>
    </xf>
    <xf numFmtId="0" fontId="10" fillId="52" borderId="20" xfId="141" applyFont="1" applyFill="1" applyBorder="1" applyAlignment="1">
      <alignment horizontal="center" vertical="center"/>
      <protection/>
    </xf>
    <xf numFmtId="49" fontId="32" fillId="52" borderId="0" xfId="141" applyNumberFormat="1" applyFont="1" applyFill="1" applyAlignment="1">
      <alignment vertical="center"/>
      <protection/>
    </xf>
    <xf numFmtId="173" fontId="11" fillId="59" borderId="20" xfId="140" applyNumberFormat="1" applyFont="1" applyFill="1" applyBorder="1" applyAlignment="1">
      <alignment horizontal="right"/>
      <protection/>
    </xf>
    <xf numFmtId="49" fontId="32" fillId="59" borderId="0" xfId="141" applyNumberFormat="1" applyFont="1" applyFill="1" applyAlignment="1">
      <alignment vertical="center"/>
      <protection/>
    </xf>
    <xf numFmtId="173" fontId="11" fillId="60" borderId="20" xfId="140" applyNumberFormat="1" applyFont="1" applyFill="1" applyBorder="1" applyAlignment="1">
      <alignment horizontal="right"/>
      <protection/>
    </xf>
    <xf numFmtId="49" fontId="32" fillId="60" borderId="0" xfId="141" applyNumberFormat="1" applyFont="1" applyFill="1" applyAlignment="1">
      <alignment vertical="center"/>
      <protection/>
    </xf>
    <xf numFmtId="0" fontId="11" fillId="10" borderId="20" xfId="141" applyFont="1" applyFill="1" applyBorder="1" applyAlignment="1">
      <alignment horizontal="center" vertical="center"/>
      <protection/>
    </xf>
    <xf numFmtId="0" fontId="11" fillId="10" borderId="20" xfId="141" applyFont="1" applyFill="1" applyBorder="1" applyAlignment="1">
      <alignment horizontal="left" vertical="center"/>
      <protection/>
    </xf>
    <xf numFmtId="173" fontId="11" fillId="10" borderId="20" xfId="140" applyNumberFormat="1" applyFont="1" applyFill="1" applyBorder="1" applyAlignment="1">
      <alignment horizontal="right"/>
      <protection/>
    </xf>
    <xf numFmtId="173" fontId="87" fillId="10" borderId="20" xfId="140" applyNumberFormat="1" applyFont="1" applyFill="1" applyBorder="1" applyAlignment="1">
      <alignment horizontal="right"/>
      <protection/>
    </xf>
    <xf numFmtId="49" fontId="32" fillId="10" borderId="0" xfId="141" applyNumberFormat="1" applyFont="1" applyFill="1" applyAlignment="1">
      <alignment vertical="center"/>
      <protection/>
    </xf>
    <xf numFmtId="0" fontId="11" fillId="17" borderId="20" xfId="141" applyFont="1" applyFill="1" applyBorder="1" applyAlignment="1">
      <alignment horizontal="center" vertical="center"/>
      <protection/>
    </xf>
    <xf numFmtId="0" fontId="11" fillId="17" borderId="20" xfId="141" applyFont="1" applyFill="1" applyBorder="1" applyAlignment="1">
      <alignment horizontal="left" vertical="center"/>
      <protection/>
    </xf>
    <xf numFmtId="173" fontId="11" fillId="17" borderId="20" xfId="140" applyNumberFormat="1" applyFont="1" applyFill="1" applyBorder="1" applyAlignment="1">
      <alignment horizontal="right"/>
      <protection/>
    </xf>
    <xf numFmtId="49" fontId="32" fillId="17" borderId="0" xfId="141" applyNumberFormat="1" applyFont="1" applyFill="1" applyAlignment="1">
      <alignment vertical="center"/>
      <protection/>
    </xf>
    <xf numFmtId="173" fontId="10" fillId="52" borderId="20" xfId="140" applyNumberFormat="1" applyFont="1" applyFill="1" applyBorder="1" applyAlignment="1">
      <alignment horizontal="right"/>
      <protection/>
    </xf>
    <xf numFmtId="173" fontId="32" fillId="52" borderId="20" xfId="140" applyNumberFormat="1" applyFont="1" applyFill="1" applyBorder="1" applyAlignment="1">
      <alignment horizontal="right"/>
      <protection/>
    </xf>
    <xf numFmtId="173" fontId="10" fillId="0" borderId="20" xfId="140" applyNumberFormat="1" applyFont="1" applyFill="1" applyBorder="1" applyAlignment="1">
      <alignment horizontal="right"/>
      <protection/>
    </xf>
    <xf numFmtId="173" fontId="32" fillId="0" borderId="20" xfId="140" applyNumberFormat="1" applyFont="1" applyFill="1" applyBorder="1" applyAlignment="1">
      <alignment horizontal="right"/>
      <protection/>
    </xf>
    <xf numFmtId="0" fontId="10" fillId="54" borderId="20" xfId="141" applyFont="1" applyFill="1" applyBorder="1" applyAlignment="1">
      <alignment horizontal="center" vertical="center"/>
      <protection/>
    </xf>
    <xf numFmtId="0" fontId="11" fillId="54" borderId="20" xfId="141" applyFont="1" applyFill="1" applyBorder="1" applyAlignment="1">
      <alignment horizontal="left" vertical="center"/>
      <protection/>
    </xf>
    <xf numFmtId="173" fontId="11" fillId="54" borderId="20" xfId="140" applyNumberFormat="1" applyFont="1" applyFill="1" applyBorder="1" applyAlignment="1">
      <alignment horizontal="right"/>
      <protection/>
    </xf>
    <xf numFmtId="173" fontId="87" fillId="54" borderId="20" xfId="140" applyNumberFormat="1" applyFont="1" applyFill="1" applyBorder="1" applyAlignment="1">
      <alignment horizontal="right"/>
      <protection/>
    </xf>
    <xf numFmtId="3" fontId="11" fillId="54" borderId="20" xfId="141" applyNumberFormat="1" applyFont="1" applyFill="1" applyBorder="1" applyAlignment="1">
      <alignment horizontal="right" vertical="center"/>
      <protection/>
    </xf>
    <xf numFmtId="49" fontId="32" fillId="54" borderId="0" xfId="141" applyNumberFormat="1" applyFont="1" applyFill="1" applyAlignment="1">
      <alignment vertical="center"/>
      <protection/>
    </xf>
    <xf numFmtId="173" fontId="11" fillId="56" borderId="20" xfId="140" applyNumberFormat="1" applyFont="1" applyFill="1" applyBorder="1" applyAlignment="1">
      <alignment horizontal="right"/>
      <protection/>
    </xf>
    <xf numFmtId="0" fontId="10" fillId="59" borderId="23" xfId="141" applyFont="1" applyFill="1" applyBorder="1" applyAlignment="1">
      <alignment horizontal="center" vertical="center"/>
      <protection/>
    </xf>
    <xf numFmtId="0" fontId="11" fillId="59" borderId="20" xfId="141" applyFont="1" applyFill="1" applyBorder="1" applyAlignment="1">
      <alignment horizontal="left" vertical="center"/>
      <protection/>
    </xf>
    <xf numFmtId="173" fontId="32" fillId="0" borderId="20" xfId="140" applyNumberFormat="1" applyFont="1" applyFill="1" applyBorder="1" applyAlignment="1">
      <alignment/>
      <protection/>
    </xf>
    <xf numFmtId="173" fontId="11" fillId="53" borderId="27" xfId="140" applyNumberFormat="1" applyFont="1" applyFill="1" applyBorder="1" applyAlignment="1">
      <alignment horizontal="right"/>
      <protection/>
    </xf>
    <xf numFmtId="173" fontId="11" fillId="56" borderId="27" xfId="140" applyNumberFormat="1" applyFont="1" applyFill="1" applyBorder="1" applyAlignment="1">
      <alignment horizontal="right"/>
      <protection/>
    </xf>
    <xf numFmtId="0" fontId="11" fillId="6" borderId="20" xfId="141" applyFont="1" applyFill="1" applyBorder="1" applyAlignment="1">
      <alignment horizontal="left" vertical="center"/>
      <protection/>
    </xf>
    <xf numFmtId="173" fontId="11" fillId="6" borderId="20" xfId="140" applyNumberFormat="1" applyFont="1" applyFill="1" applyBorder="1" applyAlignment="1">
      <alignment horizontal="right"/>
      <protection/>
    </xf>
    <xf numFmtId="3" fontId="7" fillId="0" borderId="20" xfId="141" applyNumberFormat="1" applyFont="1" applyFill="1" applyBorder="1" applyAlignment="1">
      <alignment horizontal="center" vertical="center"/>
      <protection/>
    </xf>
    <xf numFmtId="3" fontId="4" fillId="0" borderId="20" xfId="141" applyNumberFormat="1" applyFont="1" applyFill="1" applyBorder="1" applyAlignment="1">
      <alignment horizontal="center" vertical="center"/>
      <protection/>
    </xf>
    <xf numFmtId="3" fontId="6" fillId="0" borderId="20" xfId="141" applyNumberFormat="1" applyFont="1" applyFill="1" applyBorder="1" applyAlignment="1">
      <alignment horizontal="center" vertical="center"/>
      <protection/>
    </xf>
    <xf numFmtId="3" fontId="0" fillId="52" borderId="21" xfId="0" applyNumberFormat="1" applyFont="1" applyFill="1" applyBorder="1" applyAlignment="1">
      <alignment/>
    </xf>
    <xf numFmtId="174" fontId="10" fillId="47" borderId="21" xfId="0" applyNumberFormat="1" applyFont="1" applyFill="1" applyBorder="1" applyAlignment="1" applyProtection="1">
      <alignment/>
      <protection locked="0"/>
    </xf>
    <xf numFmtId="172" fontId="0" fillId="0" borderId="23" xfId="93" applyNumberFormat="1" applyFont="1" applyBorder="1" applyAlignment="1">
      <alignment horizontal="center"/>
    </xf>
    <xf numFmtId="172" fontId="40" fillId="0" borderId="23" xfId="93" applyNumberFormat="1" applyFont="1" applyBorder="1" applyAlignment="1">
      <alignment horizontal="center"/>
    </xf>
    <xf numFmtId="172" fontId="40" fillId="0" borderId="23" xfId="93" applyNumberFormat="1" applyFont="1" applyFill="1" applyBorder="1" applyAlignment="1">
      <alignment/>
    </xf>
    <xf numFmtId="172" fontId="0" fillId="0" borderId="23" xfId="93" applyNumberFormat="1" applyFont="1" applyFill="1" applyBorder="1" applyAlignment="1">
      <alignment/>
    </xf>
    <xf numFmtId="172" fontId="0" fillId="47" borderId="23" xfId="93" applyNumberFormat="1" applyFont="1" applyFill="1" applyBorder="1" applyAlignment="1">
      <alignment horizontal="center"/>
    </xf>
    <xf numFmtId="172" fontId="29" fillId="0" borderId="20" xfId="93" applyNumberFormat="1" applyFont="1" applyFill="1" applyBorder="1" applyAlignment="1" applyProtection="1">
      <alignment horizontal="right" vertical="center"/>
      <protection locked="0"/>
    </xf>
    <xf numFmtId="3" fontId="167" fillId="47" borderId="20" xfId="0" applyNumberFormat="1" applyFont="1" applyFill="1" applyBorder="1" applyAlignment="1" applyProtection="1">
      <alignment/>
      <protection locked="0"/>
    </xf>
    <xf numFmtId="3" fontId="167" fillId="47" borderId="21" xfId="0" applyNumberFormat="1" applyFont="1" applyFill="1" applyBorder="1" applyAlignment="1" applyProtection="1">
      <alignment/>
      <protection locked="0"/>
    </xf>
    <xf numFmtId="3" fontId="121" fillId="0" borderId="20" xfId="0" applyNumberFormat="1" applyFont="1" applyFill="1" applyBorder="1" applyAlignment="1" applyProtection="1">
      <alignment horizontal="right"/>
      <protection locked="0"/>
    </xf>
    <xf numFmtId="173" fontId="29" fillId="52" borderId="20" xfId="0" applyNumberFormat="1" applyFont="1" applyFill="1" applyBorder="1" applyAlignment="1" applyProtection="1">
      <alignment horizontal="right" vertical="center"/>
      <protection locked="0"/>
    </xf>
    <xf numFmtId="3" fontId="29" fillId="52" borderId="20" xfId="0" applyNumberFormat="1" applyFont="1" applyFill="1" applyBorder="1" applyAlignment="1" applyProtection="1">
      <alignment horizontal="right" vertical="center"/>
      <protection locked="0"/>
    </xf>
    <xf numFmtId="3" fontId="29" fillId="52" borderId="20" xfId="0" applyNumberFormat="1" applyFont="1" applyFill="1" applyBorder="1" applyAlignment="1" applyProtection="1">
      <alignment horizontal="right" vertical="center"/>
      <protection/>
    </xf>
    <xf numFmtId="3" fontId="29" fillId="52" borderId="20" xfId="148" applyNumberFormat="1" applyFont="1" applyFill="1" applyBorder="1" applyAlignment="1" applyProtection="1">
      <alignment horizontal="right" vertical="center"/>
      <protection/>
    </xf>
    <xf numFmtId="3" fontId="29" fillId="52" borderId="20" xfId="0" applyNumberFormat="1" applyFont="1" applyFill="1" applyBorder="1" applyAlignment="1">
      <alignment horizontal="right" vertical="center"/>
    </xf>
    <xf numFmtId="49" fontId="8" fillId="0" borderId="20" xfId="0" applyNumberFormat="1" applyFont="1" applyFill="1" applyBorder="1" applyAlignment="1">
      <alignment/>
    </xf>
    <xf numFmtId="174" fontId="10" fillId="47" borderId="21" xfId="0" applyNumberFormat="1" applyFont="1" applyFill="1" applyBorder="1" applyAlignment="1" applyProtection="1">
      <alignment horizontal="right" vertical="center"/>
      <protection locked="0"/>
    </xf>
    <xf numFmtId="174" fontId="10" fillId="47" borderId="23" xfId="0" applyNumberFormat="1" applyFont="1" applyFill="1" applyBorder="1" applyAlignment="1" applyProtection="1">
      <alignment horizontal="right" vertical="center"/>
      <protection locked="0"/>
    </xf>
    <xf numFmtId="3" fontId="35" fillId="47" borderId="21" xfId="0" applyNumberFormat="1" applyFont="1" applyFill="1" applyBorder="1" applyAlignment="1" applyProtection="1">
      <alignment/>
      <protection locked="0"/>
    </xf>
    <xf numFmtId="3" fontId="10" fillId="47" borderId="20" xfId="0" applyNumberFormat="1" applyFont="1" applyFill="1" applyBorder="1" applyAlignment="1" applyProtection="1">
      <alignment horizontal="right"/>
      <protection locked="0"/>
    </xf>
    <xf numFmtId="49" fontId="12" fillId="61" borderId="20" xfId="0" applyNumberFormat="1" applyFont="1" applyFill="1" applyBorder="1" applyAlignment="1">
      <alignment wrapText="1"/>
    </xf>
    <xf numFmtId="0" fontId="10" fillId="47" borderId="20" xfId="0" applyNumberFormat="1" applyFont="1" applyFill="1" applyBorder="1" applyAlignment="1" applyProtection="1">
      <alignment/>
      <protection/>
    </xf>
    <xf numFmtId="3" fontId="8" fillId="61" borderId="20" xfId="135" applyNumberFormat="1" applyFont="1" applyFill="1" applyBorder="1" applyAlignment="1" applyProtection="1">
      <alignment horizontal="center" vertical="center"/>
      <protection/>
    </xf>
    <xf numFmtId="173" fontId="7" fillId="52" borderId="20" xfId="0" applyNumberFormat="1" applyFont="1" applyFill="1" applyBorder="1" applyAlignment="1">
      <alignment horizontal="right"/>
    </xf>
    <xf numFmtId="173" fontId="7" fillId="0" borderId="20" xfId="0" applyNumberFormat="1" applyFont="1" applyFill="1" applyBorder="1" applyAlignment="1">
      <alignment horizontal="right"/>
    </xf>
    <xf numFmtId="173" fontId="10" fillId="0" borderId="20" xfId="140" applyNumberFormat="1" applyFont="1" applyFill="1" applyBorder="1" applyAlignment="1">
      <alignment/>
      <protection/>
    </xf>
    <xf numFmtId="3" fontId="10" fillId="0" borderId="20" xfId="141" applyNumberFormat="1" applyFont="1" applyFill="1" applyBorder="1" applyAlignment="1">
      <alignment vertical="center" wrapText="1"/>
      <protection/>
    </xf>
    <xf numFmtId="174" fontId="11" fillId="61" borderId="21" xfId="0" applyNumberFormat="1" applyFont="1" applyFill="1" applyBorder="1" applyAlignment="1" applyProtection="1">
      <alignment/>
      <protection locked="0"/>
    </xf>
    <xf numFmtId="3" fontId="168" fillId="61" borderId="20" xfId="135" applyNumberFormat="1" applyFont="1" applyFill="1" applyBorder="1" applyAlignment="1" applyProtection="1">
      <alignment horizontal="center" vertical="center"/>
      <protection/>
    </xf>
    <xf numFmtId="0" fontId="11" fillId="0" borderId="20" xfId="0" applyFont="1" applyBorder="1" applyAlignment="1">
      <alignment horizontal="center" vertical="center"/>
    </xf>
    <xf numFmtId="3" fontId="12" fillId="47" borderId="20" xfId="0" applyNumberFormat="1" applyFont="1" applyFill="1" applyBorder="1" applyAlignment="1" applyProtection="1">
      <alignment vertical="center"/>
      <protection locked="0"/>
    </xf>
    <xf numFmtId="3" fontId="12" fillId="49" borderId="20" xfId="0" applyNumberFormat="1" applyFont="1" applyFill="1" applyBorder="1" applyAlignment="1" applyProtection="1">
      <alignment horizontal="right" vertical="center"/>
      <protection locked="0"/>
    </xf>
    <xf numFmtId="3" fontId="12" fillId="49" borderId="21" xfId="0" applyNumberFormat="1" applyFont="1" applyFill="1" applyBorder="1" applyAlignment="1" applyProtection="1">
      <alignment vertical="center"/>
      <protection locked="0"/>
    </xf>
    <xf numFmtId="3" fontId="12" fillId="49" borderId="20" xfId="0" applyNumberFormat="1" applyFont="1" applyFill="1" applyBorder="1" applyAlignment="1" applyProtection="1">
      <alignment vertical="center"/>
      <protection locked="0"/>
    </xf>
    <xf numFmtId="3" fontId="12" fillId="49" borderId="23" xfId="0" applyNumberFormat="1" applyFont="1" applyFill="1" applyBorder="1" applyAlignment="1" applyProtection="1">
      <alignment vertical="center"/>
      <protection locked="0"/>
    </xf>
    <xf numFmtId="3" fontId="8" fillId="47" borderId="21" xfId="0" applyNumberFormat="1" applyFont="1" applyFill="1" applyBorder="1" applyAlignment="1" applyProtection="1">
      <alignment vertical="center"/>
      <protection locked="0"/>
    </xf>
    <xf numFmtId="3" fontId="12" fillId="47" borderId="21" xfId="0" applyNumberFormat="1" applyFont="1" applyFill="1" applyBorder="1" applyAlignment="1" applyProtection="1">
      <alignment vertical="center"/>
      <protection locked="0"/>
    </xf>
    <xf numFmtId="3" fontId="12" fillId="0" borderId="20" xfId="0" applyNumberFormat="1" applyFont="1" applyFill="1" applyBorder="1" applyAlignment="1" applyProtection="1">
      <alignment horizontal="right" vertical="center"/>
      <protection locked="0"/>
    </xf>
    <xf numFmtId="3" fontId="8" fillId="0" borderId="20" xfId="0" applyNumberFormat="1" applyFont="1" applyFill="1" applyBorder="1" applyAlignment="1" applyProtection="1">
      <alignment vertical="center"/>
      <protection locked="0"/>
    </xf>
    <xf numFmtId="3" fontId="8" fillId="47" borderId="20" xfId="0" applyNumberFormat="1" applyFont="1" applyFill="1" applyBorder="1" applyAlignment="1" applyProtection="1">
      <alignment vertical="center"/>
      <protection locked="0"/>
    </xf>
    <xf numFmtId="3" fontId="12" fillId="0" borderId="20" xfId="0" applyNumberFormat="1" applyFont="1" applyFill="1" applyBorder="1" applyAlignment="1" applyProtection="1">
      <alignment vertical="center"/>
      <protection locked="0"/>
    </xf>
    <xf numFmtId="3" fontId="12" fillId="47" borderId="20" xfId="0" applyNumberFormat="1" applyFont="1" applyFill="1" applyBorder="1" applyAlignment="1" applyProtection="1">
      <alignment horizontal="right" vertical="center"/>
      <protection locked="0"/>
    </xf>
    <xf numFmtId="3" fontId="168" fillId="0" borderId="20" xfId="135" applyNumberFormat="1" applyFont="1" applyFill="1" applyBorder="1" applyAlignment="1" applyProtection="1">
      <alignment horizontal="center" vertical="center"/>
      <protection/>
    </xf>
    <xf numFmtId="49" fontId="168" fillId="0" borderId="0" xfId="0" applyNumberFormat="1" applyFont="1" applyFill="1" applyAlignment="1">
      <alignment/>
    </xf>
    <xf numFmtId="3" fontId="168" fillId="0" borderId="20" xfId="135" applyNumberFormat="1" applyFont="1" applyFill="1" applyBorder="1" applyAlignment="1" applyProtection="1">
      <alignment horizontal="center" vertical="center"/>
      <protection/>
    </xf>
    <xf numFmtId="3" fontId="8" fillId="47" borderId="21" xfId="0" applyNumberFormat="1" applyFont="1" applyFill="1" applyBorder="1" applyAlignment="1" applyProtection="1">
      <alignment vertical="center"/>
      <protection locked="0"/>
    </xf>
    <xf numFmtId="172" fontId="17" fillId="44" borderId="20" xfId="93" applyNumberFormat="1" applyFont="1" applyFill="1" applyBorder="1" applyAlignment="1" applyProtection="1">
      <alignment horizontal="center" vertical="center"/>
      <protection/>
    </xf>
    <xf numFmtId="172" fontId="17" fillId="48" borderId="26" xfId="93" applyNumberFormat="1" applyFont="1" applyFill="1" applyBorder="1" applyAlignment="1" applyProtection="1">
      <alignment horizontal="left" vertical="center" wrapText="1"/>
      <protection locked="0"/>
    </xf>
    <xf numFmtId="0" fontId="29" fillId="47" borderId="20" xfId="0" applyFont="1" applyFill="1" applyBorder="1" applyAlignment="1" applyProtection="1">
      <alignment vertical="center"/>
      <protection locked="0"/>
    </xf>
    <xf numFmtId="9" fontId="29" fillId="44" borderId="20" xfId="148" applyNumberFormat="1" applyFont="1" applyFill="1" applyBorder="1" applyAlignment="1" applyProtection="1">
      <alignment vertical="center"/>
      <protection/>
    </xf>
    <xf numFmtId="3" fontId="29" fillId="0" borderId="20" xfId="0" applyNumberFormat="1" applyFont="1" applyFill="1" applyBorder="1" applyAlignment="1" applyProtection="1">
      <alignment horizontal="right" vertical="center"/>
      <protection/>
    </xf>
    <xf numFmtId="0" fontId="29" fillId="47" borderId="26" xfId="0" applyFont="1" applyFill="1" applyBorder="1" applyAlignment="1" applyProtection="1">
      <alignment vertical="center"/>
      <protection locked="0"/>
    </xf>
    <xf numFmtId="3" fontId="29" fillId="0" borderId="20" xfId="135" applyNumberFormat="1" applyFont="1" applyFill="1" applyBorder="1" applyAlignment="1" applyProtection="1">
      <alignment horizontal="right" vertical="center"/>
      <protection/>
    </xf>
    <xf numFmtId="172" fontId="17" fillId="38" borderId="20" xfId="93" applyNumberFormat="1" applyFont="1" applyFill="1" applyBorder="1" applyAlignment="1" applyProtection="1">
      <alignment horizontal="right" vertical="center"/>
      <protection/>
    </xf>
    <xf numFmtId="49" fontId="29" fillId="47" borderId="20" xfId="0" applyNumberFormat="1" applyFont="1" applyFill="1" applyBorder="1" applyAlignment="1" applyProtection="1">
      <alignment vertical="center"/>
      <protection locked="0"/>
    </xf>
    <xf numFmtId="3" fontId="29" fillId="47" borderId="20" xfId="149" applyNumberFormat="1" applyFont="1" applyFill="1" applyBorder="1" applyAlignment="1" applyProtection="1">
      <alignment horizontal="right" vertical="center"/>
      <protection locked="0"/>
    </xf>
    <xf numFmtId="49" fontId="29" fillId="47" borderId="20" xfId="0" applyNumberFormat="1" applyFont="1" applyFill="1" applyBorder="1" applyAlignment="1" applyProtection="1">
      <alignment horizontal="left" vertical="center"/>
      <protection locked="0"/>
    </xf>
    <xf numFmtId="3" fontId="5" fillId="47" borderId="20" xfId="0" applyNumberFormat="1" applyFont="1" applyFill="1" applyBorder="1" applyAlignment="1" applyProtection="1">
      <alignment horizontal="right" vertical="center"/>
      <protection/>
    </xf>
    <xf numFmtId="0" fontId="29" fillId="47" borderId="20" xfId="0" applyFont="1" applyFill="1" applyBorder="1" applyAlignment="1" applyProtection="1">
      <alignment vertical="center"/>
      <protection locked="0"/>
    </xf>
    <xf numFmtId="3" fontId="29"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locked="0"/>
    </xf>
    <xf numFmtId="3" fontId="29" fillId="0" borderId="20" xfId="148" applyNumberFormat="1" applyFont="1" applyFill="1" applyBorder="1" applyAlignment="1" applyProtection="1">
      <alignment horizontal="right" vertical="center"/>
      <protection locked="0"/>
    </xf>
    <xf numFmtId="3" fontId="122" fillId="0" borderId="20" xfId="0" applyNumberFormat="1" applyFont="1" applyFill="1" applyBorder="1" applyAlignment="1" applyProtection="1">
      <alignment horizontal="right" vertical="center"/>
      <protection/>
    </xf>
    <xf numFmtId="172" fontId="17" fillId="62" borderId="20" xfId="93" applyNumberFormat="1" applyFont="1" applyFill="1" applyBorder="1" applyAlignment="1" applyProtection="1">
      <alignment horizontal="right" vertical="center"/>
      <protection/>
    </xf>
    <xf numFmtId="9" fontId="17" fillId="38" borderId="20" xfId="148" applyNumberFormat="1" applyFont="1" applyFill="1" applyBorder="1" applyAlignment="1" applyProtection="1">
      <alignment horizontal="right" vertical="center"/>
      <protection/>
    </xf>
    <xf numFmtId="9" fontId="29" fillId="44" borderId="20" xfId="148" applyNumberFormat="1" applyFont="1" applyFill="1" applyBorder="1" applyAlignment="1" applyProtection="1">
      <alignment horizontal="right" vertical="center"/>
      <protection/>
    </xf>
    <xf numFmtId="3" fontId="29" fillId="0" borderId="20" xfId="135" applyNumberFormat="1" applyFont="1" applyFill="1" applyBorder="1" applyAlignment="1" applyProtection="1">
      <alignment horizontal="right" vertical="center"/>
      <protection/>
    </xf>
    <xf numFmtId="3" fontId="29" fillId="47" borderId="20" xfId="0" applyNumberFormat="1" applyFont="1" applyFill="1" applyBorder="1" applyAlignment="1">
      <alignment horizontal="right"/>
    </xf>
    <xf numFmtId="3" fontId="5" fillId="47" borderId="20" xfId="148" applyNumberFormat="1" applyFont="1" applyFill="1" applyBorder="1" applyAlignment="1" applyProtection="1">
      <alignment horizontal="right" vertical="center"/>
      <protection/>
    </xf>
    <xf numFmtId="0" fontId="8" fillId="47"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47" borderId="26" xfId="0" applyFont="1" applyFill="1" applyBorder="1" applyAlignment="1" applyProtection="1">
      <alignment vertical="center"/>
      <protection locked="0"/>
    </xf>
    <xf numFmtId="49" fontId="8" fillId="0" borderId="21" xfId="0" applyNumberFormat="1" applyFont="1" applyFill="1" applyBorder="1" applyAlignment="1" applyProtection="1">
      <alignment vertical="center"/>
      <protection locked="0"/>
    </xf>
    <xf numFmtId="49" fontId="8" fillId="47" borderId="20" xfId="138"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left" vertical="center"/>
      <protection locked="0"/>
    </xf>
    <xf numFmtId="3" fontId="29" fillId="52" borderId="20" xfId="0" applyNumberFormat="1" applyFont="1" applyFill="1" applyBorder="1" applyAlignment="1" applyProtection="1">
      <alignment horizontal="right"/>
      <protection/>
    </xf>
    <xf numFmtId="172" fontId="29" fillId="0" borderId="20" xfId="93" applyNumberFormat="1" applyFont="1" applyFill="1" applyBorder="1" applyAlignment="1" applyProtection="1">
      <alignment horizontal="right" vertical="center"/>
      <protection/>
    </xf>
    <xf numFmtId="3" fontId="29" fillId="47" borderId="20" xfId="0" applyNumberFormat="1" applyFont="1" applyFill="1" applyBorder="1" applyAlignment="1" applyProtection="1">
      <alignment horizontal="right" vertical="center"/>
      <protection locked="0"/>
    </xf>
    <xf numFmtId="3" fontId="29" fillId="0" borderId="20" xfId="134" applyNumberFormat="1" applyFont="1" applyFill="1" applyBorder="1" applyAlignment="1">
      <alignment horizontal="right" vertical="center"/>
      <protection/>
    </xf>
    <xf numFmtId="169" fontId="169" fillId="0" borderId="20" xfId="93" applyNumberFormat="1" applyFont="1" applyFill="1" applyBorder="1" applyAlignment="1">
      <alignment horizontal="right" vertical="center"/>
    </xf>
    <xf numFmtId="3" fontId="169" fillId="0" borderId="20" xfId="134" applyNumberFormat="1" applyFont="1" applyFill="1" applyBorder="1" applyAlignment="1">
      <alignment horizontal="right" vertical="center"/>
      <protection/>
    </xf>
    <xf numFmtId="173" fontId="170" fillId="62" borderId="20" xfId="0" applyNumberFormat="1" applyFont="1" applyFill="1" applyBorder="1" applyAlignment="1">
      <alignment horizontal="right" vertical="center"/>
    </xf>
    <xf numFmtId="173" fontId="169" fillId="62" borderId="20" xfId="0" applyNumberFormat="1" applyFont="1" applyFill="1" applyBorder="1" applyAlignment="1">
      <alignment horizontal="right" vertical="center"/>
    </xf>
    <xf numFmtId="173" fontId="170" fillId="54" borderId="20" xfId="0" applyNumberFormat="1" applyFont="1" applyFill="1" applyBorder="1" applyAlignment="1">
      <alignment horizontal="right" vertical="center"/>
    </xf>
    <xf numFmtId="173" fontId="17" fillId="0" borderId="20" xfId="93" applyNumberFormat="1" applyFont="1" applyBorder="1" applyAlignment="1">
      <alignment horizontal="right" vertical="center"/>
    </xf>
    <xf numFmtId="173" fontId="170" fillId="53" borderId="20" xfId="0" applyNumberFormat="1" applyFont="1" applyFill="1" applyBorder="1" applyAlignment="1">
      <alignment horizontal="right" vertical="center"/>
    </xf>
    <xf numFmtId="173" fontId="169" fillId="0" borderId="20" xfId="0" applyNumberFormat="1" applyFont="1" applyFill="1" applyBorder="1" applyAlignment="1">
      <alignment horizontal="right" vertical="center"/>
    </xf>
    <xf numFmtId="3" fontId="29" fillId="0" borderId="20" xfId="137" applyNumberFormat="1" applyFont="1" applyFill="1" applyBorder="1" applyAlignment="1">
      <alignment horizontal="right" vertical="center"/>
      <protection/>
    </xf>
    <xf numFmtId="49" fontId="29" fillId="0" borderId="20" xfId="93" applyNumberFormat="1" applyFont="1" applyBorder="1" applyAlignment="1">
      <alignment horizontal="right" vertical="center"/>
    </xf>
    <xf numFmtId="173" fontId="29" fillId="0" borderId="20" xfId="0" applyNumberFormat="1" applyFont="1" applyFill="1" applyBorder="1" applyAlignment="1">
      <alignment horizontal="right" vertical="center"/>
    </xf>
    <xf numFmtId="173" fontId="169" fillId="52" borderId="20" xfId="0" applyNumberFormat="1" applyFont="1" applyFill="1" applyBorder="1" applyAlignment="1">
      <alignment horizontal="right" vertical="center"/>
    </xf>
    <xf numFmtId="49" fontId="169" fillId="0" borderId="20" xfId="0" applyNumberFormat="1" applyFont="1" applyFill="1" applyBorder="1" applyAlignment="1">
      <alignment horizontal="right" vertical="center"/>
    </xf>
    <xf numFmtId="49" fontId="169" fillId="0" borderId="20" xfId="93" applyNumberFormat="1" applyFont="1" applyBorder="1" applyAlignment="1">
      <alignment horizontal="right" vertical="center"/>
    </xf>
    <xf numFmtId="173" fontId="169" fillId="52" borderId="20" xfId="93" applyNumberFormat="1" applyFont="1" applyFill="1" applyBorder="1" applyAlignment="1">
      <alignment horizontal="right" vertical="center"/>
    </xf>
    <xf numFmtId="173" fontId="7" fillId="59" borderId="20" xfId="0" applyNumberFormat="1" applyFont="1" applyFill="1" applyBorder="1" applyAlignment="1">
      <alignment horizontal="right"/>
    </xf>
    <xf numFmtId="173" fontId="7" fillId="54" borderId="20" xfId="0" applyNumberFormat="1" applyFont="1" applyFill="1" applyBorder="1" applyAlignment="1">
      <alignment horizontal="right"/>
    </xf>
    <xf numFmtId="173" fontId="7" fillId="56" borderId="20" xfId="0" applyNumberFormat="1" applyFont="1" applyFill="1" applyBorder="1" applyAlignment="1">
      <alignment horizontal="right"/>
    </xf>
    <xf numFmtId="173" fontId="0" fillId="52" borderId="20" xfId="0" applyNumberFormat="1" applyFont="1" applyFill="1" applyBorder="1" applyAlignment="1">
      <alignment horizontal="right"/>
    </xf>
    <xf numFmtId="173" fontId="0" fillId="0" borderId="20" xfId="0" applyNumberFormat="1" applyFont="1" applyFill="1" applyBorder="1" applyAlignment="1">
      <alignment horizontal="right"/>
    </xf>
    <xf numFmtId="0" fontId="11" fillId="0" borderId="20" xfId="0" applyFont="1" applyBorder="1" applyAlignment="1">
      <alignment horizontal="center" vertical="center"/>
    </xf>
    <xf numFmtId="0" fontId="11" fillId="0" borderId="20" xfId="0" applyFont="1" applyBorder="1" applyAlignment="1">
      <alignment vertical="center"/>
    </xf>
    <xf numFmtId="3" fontId="10" fillId="61" borderId="21" xfId="0" applyNumberFormat="1" applyFont="1" applyFill="1" applyBorder="1" applyAlignment="1" applyProtection="1">
      <alignment/>
      <protection/>
    </xf>
    <xf numFmtId="49" fontId="8" fillId="0" borderId="20" xfId="0" applyNumberFormat="1" applyFont="1" applyFill="1" applyBorder="1" applyAlignment="1" applyProtection="1">
      <alignment vertical="center"/>
      <protection/>
    </xf>
    <xf numFmtId="172" fontId="29" fillId="48" borderId="20" xfId="93" applyNumberFormat="1" applyFont="1" applyFill="1" applyBorder="1" applyAlignment="1" applyProtection="1">
      <alignment horizontal="center" vertical="center"/>
      <protection locked="0"/>
    </xf>
    <xf numFmtId="172" fontId="29" fillId="48" borderId="26" xfId="93" applyNumberFormat="1" applyFont="1" applyFill="1" applyBorder="1" applyAlignment="1" applyProtection="1">
      <alignment horizontal="left" vertical="center" wrapText="1"/>
      <protection locked="0"/>
    </xf>
    <xf numFmtId="172" fontId="17" fillId="0" borderId="20" xfId="93" applyNumberFormat="1" applyFont="1" applyFill="1" applyBorder="1" applyAlignment="1" applyProtection="1">
      <alignment horizontal="right" vertical="center"/>
      <protection/>
    </xf>
    <xf numFmtId="172" fontId="31" fillId="62" borderId="20" xfId="93" applyNumberFormat="1" applyFont="1" applyFill="1" applyBorder="1" applyAlignment="1" applyProtection="1">
      <alignment horizontal="right" vertical="center"/>
      <protection/>
    </xf>
    <xf numFmtId="172" fontId="31" fillId="38" borderId="20" xfId="93" applyNumberFormat="1" applyFont="1" applyFill="1" applyBorder="1" applyAlignment="1" applyProtection="1">
      <alignment horizontal="right" vertical="center"/>
      <protection/>
    </xf>
    <xf numFmtId="9" fontId="31" fillId="38" borderId="20" xfId="148" applyNumberFormat="1" applyFont="1" applyFill="1" applyBorder="1" applyAlignment="1" applyProtection="1">
      <alignment horizontal="right" vertical="center"/>
      <protection/>
    </xf>
    <xf numFmtId="172" fontId="31" fillId="48" borderId="26" xfId="93" applyNumberFormat="1" applyFont="1" applyFill="1" applyBorder="1" applyAlignment="1" applyProtection="1">
      <alignment horizontal="left" vertical="center" wrapText="1"/>
      <protection locked="0"/>
    </xf>
    <xf numFmtId="49" fontId="13" fillId="0" borderId="0" xfId="0" applyNumberFormat="1" applyFont="1" applyFill="1" applyAlignment="1">
      <alignment/>
    </xf>
    <xf numFmtId="172" fontId="123" fillId="38" borderId="20" xfId="93" applyNumberFormat="1" applyFont="1" applyFill="1" applyBorder="1" applyAlignment="1" applyProtection="1">
      <alignment horizontal="right" vertical="center" wrapText="1"/>
      <protection/>
    </xf>
    <xf numFmtId="9" fontId="123" fillId="38" borderId="20" xfId="93" applyNumberFormat="1" applyFont="1" applyFill="1" applyBorder="1" applyAlignment="1" applyProtection="1">
      <alignment horizontal="right" vertical="center" wrapText="1"/>
      <protection/>
    </xf>
    <xf numFmtId="172" fontId="124" fillId="0" borderId="20" xfId="93" applyNumberFormat="1" applyFont="1" applyFill="1" applyBorder="1" applyAlignment="1" applyProtection="1">
      <alignment horizontal="right" vertical="center" wrapText="1"/>
      <protection/>
    </xf>
    <xf numFmtId="172" fontId="123" fillId="0" borderId="20" xfId="93" applyNumberFormat="1" applyFont="1" applyFill="1" applyBorder="1" applyAlignment="1" applyProtection="1">
      <alignment horizontal="right" vertical="center" wrapText="1"/>
      <protection/>
    </xf>
    <xf numFmtId="9" fontId="124" fillId="44" borderId="20" xfId="93" applyNumberFormat="1" applyFont="1" applyFill="1" applyBorder="1" applyAlignment="1" applyProtection="1">
      <alignment horizontal="right" vertical="center" wrapText="1"/>
      <protection/>
    </xf>
    <xf numFmtId="173" fontId="124" fillId="0" borderId="20" xfId="0" applyNumberFormat="1" applyFont="1" applyFill="1" applyBorder="1" applyAlignment="1" applyProtection="1">
      <alignment horizontal="right" vertical="center"/>
      <protection locked="0"/>
    </xf>
    <xf numFmtId="174" fontId="124" fillId="47" borderId="20" xfId="0" applyNumberFormat="1" applyFont="1" applyFill="1" applyBorder="1" applyAlignment="1" applyProtection="1">
      <alignment horizontal="right" vertical="center"/>
      <protection locked="0"/>
    </xf>
    <xf numFmtId="3" fontId="124" fillId="47" borderId="20" xfId="0" applyNumberFormat="1" applyFont="1" applyFill="1" applyBorder="1" applyAlignment="1" applyProtection="1">
      <alignment horizontal="right" vertical="center"/>
      <protection/>
    </xf>
    <xf numFmtId="3" fontId="124" fillId="47" borderId="20" xfId="0" applyNumberFormat="1" applyFont="1" applyFill="1" applyBorder="1" applyAlignment="1" applyProtection="1">
      <alignment horizontal="right" vertical="center"/>
      <protection/>
    </xf>
    <xf numFmtId="3" fontId="124" fillId="47" borderId="20" xfId="148" applyNumberFormat="1" applyFont="1" applyFill="1" applyBorder="1" applyAlignment="1" applyProtection="1">
      <alignment horizontal="right" vertical="center"/>
      <protection/>
    </xf>
    <xf numFmtId="3" fontId="124" fillId="47" borderId="20" xfId="0" applyNumberFormat="1" applyFont="1" applyFill="1" applyBorder="1" applyAlignment="1">
      <alignment horizontal="right"/>
    </xf>
    <xf numFmtId="173" fontId="124" fillId="52" borderId="20" xfId="0" applyNumberFormat="1" applyFont="1" applyFill="1" applyBorder="1" applyAlignment="1" applyProtection="1">
      <alignment horizontal="right" vertical="center"/>
      <protection locked="0"/>
    </xf>
    <xf numFmtId="174" fontId="124" fillId="52" borderId="20" xfId="0" applyNumberFormat="1" applyFont="1" applyFill="1" applyBorder="1" applyAlignment="1" applyProtection="1">
      <alignment horizontal="right" vertical="center"/>
      <protection locked="0"/>
    </xf>
    <xf numFmtId="3" fontId="124" fillId="0" borderId="20" xfId="0" applyNumberFormat="1" applyFont="1" applyFill="1" applyBorder="1" applyAlignment="1" applyProtection="1">
      <alignment horizontal="right" vertical="center"/>
      <protection/>
    </xf>
    <xf numFmtId="3" fontId="124" fillId="0" borderId="20" xfId="0" applyNumberFormat="1" applyFont="1" applyFill="1" applyBorder="1" applyAlignment="1" applyProtection="1">
      <alignment horizontal="right" vertical="center"/>
      <protection/>
    </xf>
    <xf numFmtId="3" fontId="124" fillId="52" borderId="20" xfId="0" applyNumberFormat="1" applyFont="1" applyFill="1" applyBorder="1" applyAlignment="1" applyProtection="1">
      <alignment horizontal="right" vertical="center"/>
      <protection/>
    </xf>
    <xf numFmtId="3" fontId="124" fillId="52" borderId="20" xfId="148" applyNumberFormat="1" applyFont="1" applyFill="1" applyBorder="1" applyAlignment="1" applyProtection="1">
      <alignment horizontal="right" vertical="center"/>
      <protection/>
    </xf>
    <xf numFmtId="3" fontId="124" fillId="52" borderId="20" xfId="0" applyNumberFormat="1" applyFont="1" applyFill="1" applyBorder="1" applyAlignment="1">
      <alignment horizontal="right"/>
    </xf>
    <xf numFmtId="49" fontId="123" fillId="0" borderId="42" xfId="135" applyNumberFormat="1" applyFont="1" applyFill="1" applyBorder="1" applyAlignment="1">
      <alignment horizontal="right" vertical="center" wrapText="1"/>
      <protection/>
    </xf>
    <xf numFmtId="49" fontId="123" fillId="0" borderId="25" xfId="135" applyNumberFormat="1" applyFont="1" applyFill="1" applyBorder="1" applyAlignment="1">
      <alignment horizontal="right" vertical="center" wrapText="1"/>
      <protection/>
    </xf>
    <xf numFmtId="3" fontId="124" fillId="0" borderId="20" xfId="135" applyNumberFormat="1" applyFont="1" applyFill="1" applyBorder="1" applyAlignment="1" applyProtection="1">
      <alignment horizontal="right" vertical="center"/>
      <protection/>
    </xf>
    <xf numFmtId="3" fontId="124" fillId="0" borderId="20" xfId="135" applyNumberFormat="1" applyFont="1" applyFill="1" applyBorder="1" applyAlignment="1" applyProtection="1">
      <alignment horizontal="right" vertical="center"/>
      <protection/>
    </xf>
    <xf numFmtId="3" fontId="124" fillId="52" borderId="20" xfId="0" applyNumberFormat="1" applyFont="1" applyFill="1" applyBorder="1" applyAlignment="1" applyProtection="1">
      <alignment horizontal="right" vertical="center"/>
      <protection/>
    </xf>
    <xf numFmtId="172" fontId="123" fillId="38" borderId="20" xfId="93" applyNumberFormat="1" applyFont="1" applyFill="1" applyBorder="1" applyAlignment="1" applyProtection="1">
      <alignment horizontal="right" vertical="center" wrapText="1"/>
      <protection/>
    </xf>
    <xf numFmtId="172" fontId="124" fillId="0" borderId="20" xfId="93" applyNumberFormat="1" applyFont="1" applyFill="1" applyBorder="1" applyAlignment="1" applyProtection="1">
      <alignment horizontal="right" vertical="center" wrapText="1"/>
      <protection/>
    </xf>
    <xf numFmtId="174" fontId="124" fillId="47" borderId="20" xfId="0" applyNumberFormat="1" applyFont="1" applyFill="1" applyBorder="1" applyAlignment="1" applyProtection="1">
      <alignment horizontal="right" vertical="center"/>
      <protection locked="0"/>
    </xf>
    <xf numFmtId="174" fontId="124" fillId="47" borderId="20" xfId="149" applyNumberFormat="1" applyFont="1" applyFill="1" applyBorder="1" applyAlignment="1" applyProtection="1">
      <alignment horizontal="right" vertical="center"/>
      <protection locked="0"/>
    </xf>
    <xf numFmtId="174" fontId="124" fillId="52" borderId="20" xfId="0" applyNumberFormat="1" applyFont="1" applyFill="1" applyBorder="1" applyAlignment="1" applyProtection="1">
      <alignment horizontal="right"/>
      <protection/>
    </xf>
    <xf numFmtId="9" fontId="124" fillId="44" borderId="20" xfId="93" applyNumberFormat="1" applyFont="1" applyFill="1" applyBorder="1" applyAlignment="1" applyProtection="1">
      <alignment horizontal="right" vertical="center" wrapText="1"/>
      <protection/>
    </xf>
    <xf numFmtId="3" fontId="124" fillId="47" borderId="20" xfId="0" applyNumberFormat="1" applyFont="1" applyFill="1" applyBorder="1" applyAlignment="1">
      <alignment horizontal="right" vertical="center"/>
    </xf>
    <xf numFmtId="172" fontId="124" fillId="0" borderId="20" xfId="93" applyNumberFormat="1" applyFont="1" applyFill="1" applyBorder="1" applyAlignment="1" applyProtection="1">
      <alignment vertical="center" wrapText="1"/>
      <protection/>
    </xf>
    <xf numFmtId="3" fontId="124" fillId="47" borderId="20" xfId="0" applyNumberFormat="1" applyFont="1" applyFill="1" applyBorder="1" applyAlignment="1" applyProtection="1">
      <alignment vertical="center"/>
      <protection/>
    </xf>
    <xf numFmtId="3" fontId="124" fillId="47" borderId="20" xfId="148" applyNumberFormat="1" applyFont="1" applyFill="1" applyBorder="1" applyAlignment="1" applyProtection="1">
      <alignment vertical="center"/>
      <protection/>
    </xf>
    <xf numFmtId="3" fontId="124" fillId="47" borderId="20" xfId="0" applyNumberFormat="1" applyFont="1" applyFill="1" applyBorder="1" applyAlignment="1">
      <alignment/>
    </xf>
    <xf numFmtId="9" fontId="124" fillId="49" borderId="20" xfId="93" applyNumberFormat="1" applyFont="1" applyFill="1" applyBorder="1" applyAlignment="1" applyProtection="1">
      <alignment horizontal="right" vertical="center" wrapText="1"/>
      <protection/>
    </xf>
    <xf numFmtId="172" fontId="123" fillId="62" borderId="20" xfId="93" applyNumberFormat="1" applyFont="1" applyFill="1" applyBorder="1" applyAlignment="1" applyProtection="1">
      <alignment horizontal="right" vertical="center" wrapText="1"/>
      <protection/>
    </xf>
    <xf numFmtId="9" fontId="123" fillId="38" borderId="20" xfId="93" applyNumberFormat="1" applyFont="1" applyFill="1" applyBorder="1" applyAlignment="1" applyProtection="1">
      <alignment vertical="center" wrapText="1"/>
      <protection/>
    </xf>
    <xf numFmtId="172" fontId="124" fillId="0" borderId="20" xfId="93" applyNumberFormat="1" applyFont="1" applyFill="1" applyBorder="1" applyAlignment="1" applyProtection="1">
      <alignment vertical="center" wrapText="1"/>
      <protection/>
    </xf>
    <xf numFmtId="0" fontId="124" fillId="52" borderId="20" xfId="0" applyNumberFormat="1" applyFont="1" applyFill="1" applyBorder="1" applyAlignment="1" applyProtection="1">
      <alignment vertical="center"/>
      <protection/>
    </xf>
    <xf numFmtId="0" fontId="124" fillId="0" borderId="20" xfId="0" applyNumberFormat="1" applyFont="1" applyFill="1" applyBorder="1" applyAlignment="1" applyProtection="1">
      <alignment vertical="center"/>
      <protection/>
    </xf>
    <xf numFmtId="0" fontId="125" fillId="0" borderId="20" xfId="0" applyNumberFormat="1" applyFont="1" applyFill="1" applyBorder="1" applyAlignment="1" applyProtection="1">
      <alignment vertical="center"/>
      <protection/>
    </xf>
    <xf numFmtId="3" fontId="124" fillId="0" borderId="20" xfId="0" applyNumberFormat="1" applyFont="1" applyFill="1" applyBorder="1" applyAlignment="1" applyProtection="1">
      <alignment vertical="center"/>
      <protection/>
    </xf>
    <xf numFmtId="9" fontId="124" fillId="44" borderId="20" xfId="93" applyNumberFormat="1" applyFont="1" applyFill="1" applyBorder="1" applyAlignment="1" applyProtection="1">
      <alignment vertical="center" wrapText="1"/>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2"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49" fontId="36" fillId="0" borderId="0" xfId="136" applyNumberFormat="1" applyFont="1" applyBorder="1" applyAlignment="1">
      <alignment horizontal="center" wrapText="1"/>
      <protection/>
    </xf>
    <xf numFmtId="0" fontId="60" fillId="3" borderId="26" xfId="136" applyNumberFormat="1" applyFont="1" applyFill="1" applyBorder="1" applyAlignment="1">
      <alignment horizontal="center" vertical="center" wrapText="1"/>
      <protection/>
    </xf>
    <xf numFmtId="0" fontId="60" fillId="3" borderId="25" xfId="136" applyNumberFormat="1" applyFont="1" applyFill="1" applyBorder="1" applyAlignment="1">
      <alignment horizontal="center" vertic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0" fontId="21" fillId="0" borderId="20" xfId="136" applyNumberFormat="1" applyFont="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3" xfId="136" applyNumberFormat="1" applyFont="1" applyBorder="1" applyAlignment="1">
      <alignment horizontal="center" vertical="center" wrapText="1"/>
      <protection/>
    </xf>
    <xf numFmtId="49" fontId="12" fillId="0" borderId="26" xfId="136" applyNumberFormat="1" applyFont="1" applyBorder="1" applyAlignment="1">
      <alignment horizontal="center" vertical="center" wrapText="1"/>
      <protection/>
    </xf>
    <xf numFmtId="49" fontId="12" fillId="0" borderId="42"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38" fillId="0" borderId="0" xfId="136" applyNumberFormat="1" applyFont="1" applyAlignment="1">
      <alignment horizontal="center"/>
      <protection/>
    </xf>
    <xf numFmtId="49" fontId="0" fillId="0" borderId="0" xfId="136" applyNumberFormat="1" applyFont="1" applyAlignment="1">
      <alignment horizontal="left"/>
      <protection/>
    </xf>
    <xf numFmtId="49" fontId="7"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9" fillId="47" borderId="40" xfId="136" applyNumberFormat="1" applyFont="1" applyFill="1" applyBorder="1" applyAlignment="1" applyProtection="1">
      <alignment horizontal="center" vertical="center" wrapText="1"/>
      <protection/>
    </xf>
    <xf numFmtId="3" fontId="39"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0" fillId="0" borderId="0" xfId="136" applyNumberFormat="1" applyFont="1" applyBorder="1" applyAlignment="1">
      <alignment horizontal="center" wrapText="1"/>
      <protection/>
    </xf>
    <xf numFmtId="49" fontId="45" fillId="0" borderId="0" xfId="136" applyNumberFormat="1" applyFont="1" applyBorder="1" applyAlignment="1">
      <alignment horizontal="center" wrapText="1"/>
      <protection/>
    </xf>
    <xf numFmtId="49" fontId="0" fillId="0" borderId="0" xfId="136" applyNumberFormat="1" applyFont="1" applyBorder="1" applyAlignment="1">
      <alignment horizontal="left"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6"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2"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3"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2" fillId="3" borderId="26" xfId="136" applyNumberFormat="1" applyFont="1" applyFill="1" applyBorder="1" applyAlignment="1">
      <alignment horizontal="center" vertical="center" wrapText="1"/>
      <protection/>
    </xf>
    <xf numFmtId="49" fontId="72" fillId="3" borderId="25"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 fillId="0" borderId="0" xfId="136" applyNumberFormat="1" applyFont="1" applyAlignment="1">
      <alignment horizontal="left" wrapText="1"/>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3"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60" fillId="3" borderId="26" xfId="136" applyNumberFormat="1" applyFont="1" applyFill="1" applyBorder="1" applyAlignment="1">
      <alignment horizontal="center" wrapText="1"/>
      <protection/>
    </xf>
    <xf numFmtId="49" fontId="60" fillId="3" borderId="25" xfId="136" applyNumberFormat="1" applyFont="1" applyFill="1" applyBorder="1" applyAlignment="1">
      <alignment horizontal="center" wrapText="1"/>
      <protection/>
    </xf>
    <xf numFmtId="49" fontId="36"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7" fillId="0" borderId="20" xfId="136" applyNumberFormat="1" applyFont="1" applyFill="1" applyBorder="1" applyAlignment="1">
      <alignment horizontal="center" vertical="center" wrapText="1"/>
      <protection/>
    </xf>
    <xf numFmtId="49" fontId="81" fillId="4" borderId="21" xfId="140" applyNumberFormat="1" applyFont="1" applyFill="1" applyBorder="1" applyAlignment="1">
      <alignment horizontal="center" vertical="center" wrapText="1"/>
      <protection/>
    </xf>
    <xf numFmtId="49" fontId="81" fillId="4" borderId="40" xfId="140" applyNumberFormat="1" applyFont="1" applyFill="1" applyBorder="1" applyAlignment="1">
      <alignment horizontal="center" vertical="center" wrapText="1"/>
      <protection/>
    </xf>
    <xf numFmtId="49" fontId="81"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9" fillId="0" borderId="26" xfId="140" applyNumberFormat="1" applyFont="1" applyBorder="1" applyAlignment="1">
      <alignment horizontal="center" vertical="center" wrapText="1"/>
      <protection/>
    </xf>
    <xf numFmtId="49" fontId="89" fillId="0" borderId="25" xfId="140" applyNumberFormat="1" applyFont="1" applyBorder="1" applyAlignment="1">
      <alignment horizontal="center" vertical="center" wrapText="1"/>
      <protection/>
    </xf>
    <xf numFmtId="49" fontId="36" fillId="0" borderId="0" xfId="140" applyNumberFormat="1" applyFont="1" applyBorder="1" applyAlignment="1">
      <alignment horizontal="center" wrapText="1"/>
      <protection/>
    </xf>
    <xf numFmtId="49" fontId="11" fillId="0" borderId="42"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6" fillId="0" borderId="0" xfId="140" applyNumberFormat="1" applyFont="1" applyBorder="1" applyAlignment="1">
      <alignment horizontal="center"/>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6"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3"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8"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0" fontId="93"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0" fontId="11" fillId="0" borderId="20" xfId="140" applyFont="1" applyBorder="1" applyAlignment="1">
      <alignment horizontal="center" vertical="center"/>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42" xfId="140" applyFont="1" applyBorder="1" applyAlignment="1">
      <alignment horizontal="center" vertical="center"/>
      <protection/>
    </xf>
    <xf numFmtId="0" fontId="11" fillId="0" borderId="25" xfId="140" applyFont="1" applyBorder="1" applyAlignment="1">
      <alignment horizontal="center" vertical="center"/>
      <protection/>
    </xf>
    <xf numFmtId="0" fontId="72" fillId="3" borderId="26" xfId="140" applyFont="1" applyFill="1" applyBorder="1" applyAlignment="1">
      <alignment horizontal="center" vertical="center" wrapText="1"/>
      <protection/>
    </xf>
    <xf numFmtId="0" fontId="72" fillId="3" borderId="25" xfId="140" applyFont="1" applyFill="1" applyBorder="1" applyAlignment="1">
      <alignment horizontal="center" vertical="center" wrapText="1"/>
      <protection/>
    </xf>
    <xf numFmtId="0" fontId="36" fillId="0" borderId="0" xfId="140" applyNumberFormat="1" applyFont="1" applyBorder="1" applyAlignment="1">
      <alignment horizontal="center"/>
      <protection/>
    </xf>
    <xf numFmtId="0" fontId="36"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8"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3" xfId="140" applyFont="1" applyBorder="1" applyAlignment="1">
      <alignment horizontal="center" vertical="center" wrapText="1"/>
      <protection/>
    </xf>
    <xf numFmtId="0" fontId="18" fillId="0" borderId="22" xfId="140" applyFont="1" applyBorder="1" applyAlignment="1">
      <alignment horizontal="left"/>
      <protection/>
    </xf>
    <xf numFmtId="3" fontId="0" fillId="47" borderId="0" xfId="140" applyNumberFormat="1" applyFont="1" applyFill="1" applyBorder="1" applyAlignment="1">
      <alignment horizontal="left"/>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1" fillId="0" borderId="26" xfId="140" applyFont="1" applyBorder="1" applyAlignment="1">
      <alignment horizontal="center" vertical="center"/>
      <protection/>
    </xf>
    <xf numFmtId="49" fontId="24" fillId="0" borderId="22" xfId="140" applyNumberFormat="1" applyFont="1" applyBorder="1" applyAlignment="1">
      <alignment horizontal="center"/>
      <protection/>
    </xf>
    <xf numFmtId="49" fontId="79"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84"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2" fillId="3" borderId="26" xfId="140" applyNumberFormat="1" applyFont="1" applyFill="1" applyBorder="1" applyAlignment="1">
      <alignment horizontal="center" vertical="center" wrapText="1"/>
      <protection/>
    </xf>
    <xf numFmtId="49" fontId="82" fillId="3" borderId="25" xfId="140" applyNumberFormat="1" applyFont="1" applyFill="1" applyBorder="1" applyAlignment="1">
      <alignment horizontal="center" vertical="center" wrapText="1"/>
      <protection/>
    </xf>
    <xf numFmtId="49" fontId="80" fillId="3" borderId="26" xfId="140" applyNumberFormat="1" applyFont="1" applyFill="1" applyBorder="1" applyAlignment="1">
      <alignment horizontal="center" vertical="center" wrapText="1"/>
      <protection/>
    </xf>
    <xf numFmtId="49" fontId="80"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36" fillId="0" borderId="0" xfId="140" applyNumberFormat="1" applyFont="1" applyBorder="1" applyAlignment="1">
      <alignment horizontal="left" wrapText="1"/>
      <protection/>
    </xf>
    <xf numFmtId="49" fontId="23" fillId="0" borderId="22" xfId="140" applyNumberFormat="1" applyFont="1" applyBorder="1" applyAlignment="1">
      <alignment horizontal="left"/>
      <protection/>
    </xf>
    <xf numFmtId="49" fontId="11" fillId="0" borderId="42"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wrapText="1"/>
      <protection/>
    </xf>
    <xf numFmtId="49" fontId="94"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49" fontId="11" fillId="0" borderId="42"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protection/>
    </xf>
    <xf numFmtId="49" fontId="94" fillId="3" borderId="25" xfId="140" applyNumberFormat="1" applyFont="1" applyFill="1" applyBorder="1" applyAlignment="1">
      <alignment horizontal="center" vertical="center"/>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3" xfId="140" applyNumberFormat="1" applyFont="1" applyFill="1" applyBorder="1" applyAlignment="1">
      <alignment horizontal="center" vertical="center" wrapText="1"/>
      <protection/>
    </xf>
    <xf numFmtId="49" fontId="0" fillId="0" borderId="0" xfId="140" applyNumberFormat="1" applyFont="1" applyFill="1" applyAlignment="1">
      <alignment horizontal="left"/>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0" fontId="87" fillId="0" borderId="42" xfId="140" applyFont="1" applyFill="1" applyBorder="1" applyAlignment="1">
      <alignment horizontal="center" vertical="center" wrapText="1"/>
      <protection/>
    </xf>
    <xf numFmtId="0" fontId="87" fillId="0" borderId="25" xfId="140" applyFont="1" applyFill="1" applyBorder="1" applyAlignment="1">
      <alignment horizontal="center" vertical="center" wrapText="1"/>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0" fontId="30" fillId="0" borderId="0" xfId="140" applyFont="1" applyAlignment="1">
      <alignment horizontal="center"/>
      <protection/>
    </xf>
    <xf numFmtId="0" fontId="12" fillId="0" borderId="20" xfId="140" applyFont="1" applyFill="1" applyBorder="1" applyAlignment="1">
      <alignment horizontal="center" vertical="center"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3"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23" fillId="0" borderId="0" xfId="140" applyFont="1" applyBorder="1" applyAlignment="1">
      <alignment horizontal="left"/>
      <protection/>
    </xf>
    <xf numFmtId="0" fontId="18" fillId="0" borderId="0" xfId="140" applyFont="1" applyAlignment="1">
      <alignment horizontal="center"/>
      <protection/>
    </xf>
    <xf numFmtId="49" fontId="36" fillId="0" borderId="0" xfId="140" applyNumberFormat="1" applyFont="1" applyBorder="1" applyAlignment="1">
      <alignment horizontal="justify" vertical="justify" wrapText="1"/>
      <protection/>
    </xf>
    <xf numFmtId="0" fontId="19" fillId="0" borderId="0" xfId="140" applyNumberFormat="1" applyFont="1" applyAlignment="1">
      <alignment horizontal="center"/>
      <protection/>
    </xf>
    <xf numFmtId="0" fontId="38" fillId="0" borderId="0" xfId="140" applyNumberFormat="1" applyFont="1" applyAlignment="1">
      <alignment horizontal="center"/>
      <protection/>
    </xf>
    <xf numFmtId="0" fontId="28" fillId="0" borderId="0" xfId="140" applyNumberFormat="1" applyFont="1" applyAlignment="1">
      <alignment horizontal="center"/>
      <protection/>
    </xf>
    <xf numFmtId="49" fontId="30" fillId="47" borderId="44" xfId="0" applyNumberFormat="1" applyFont="1" applyFill="1" applyBorder="1" applyAlignment="1">
      <alignment horizontal="center" vertical="center"/>
    </xf>
    <xf numFmtId="49" fontId="30" fillId="47" borderId="45"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2"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6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42"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38" fillId="0" borderId="0" xfId="0" applyNumberFormat="1" applyFont="1" applyFill="1" applyAlignment="1">
      <alignment horizont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1" fillId="0" borderId="0" xfId="0" applyNumberFormat="1" applyFont="1" applyFill="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0" fontId="23" fillId="0" borderId="19" xfId="0" applyNumberFormat="1" applyFont="1" applyBorder="1" applyAlignment="1">
      <alignment horizontal="right" wrapText="1"/>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6" fillId="0" borderId="19" xfId="0" applyNumberFormat="1" applyFont="1" applyFill="1" applyBorder="1" applyAlignment="1">
      <alignment horizontal="righ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6" fillId="0" borderId="19" xfId="0" applyNumberFormat="1" applyFont="1" applyFill="1" applyBorder="1" applyAlignment="1">
      <alignment horizontal="right" wrapText="1"/>
    </xf>
    <xf numFmtId="2" fontId="0" fillId="0" borderId="0" xfId="0" applyNumberFormat="1" applyFont="1" applyFill="1" applyBorder="1" applyAlignment="1">
      <alignment horizontal="center"/>
    </xf>
    <xf numFmtId="0" fontId="36" fillId="0" borderId="0" xfId="0" applyNumberFormat="1" applyFont="1" applyFill="1" applyBorder="1" applyAlignment="1">
      <alignment horizontal="right"/>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0" fontId="6" fillId="0" borderId="0" xfId="0" applyFont="1" applyFill="1" applyBorder="1" applyAlignment="1">
      <alignment horizontal="center"/>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8" fillId="0" borderId="0" xfId="0" applyNumberFormat="1" applyFont="1" applyFill="1" applyAlignment="1">
      <alignment horizontal="left"/>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8" fillId="0" borderId="0" xfId="0" applyNumberFormat="1" applyFont="1" applyFill="1" applyAlignment="1">
      <alignment horizontal="center" wrapText="1"/>
    </xf>
    <xf numFmtId="0" fontId="36" fillId="0" borderId="19" xfId="0" applyFont="1" applyFill="1" applyBorder="1" applyAlignment="1">
      <alignment horizontal="center" wrapText="1"/>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49" fontId="12" fillId="0" borderId="23" xfId="0" applyNumberFormat="1" applyFont="1" applyFill="1" applyBorder="1" applyAlignment="1">
      <alignment horizontal="center" vertical="center" wrapText="1"/>
    </xf>
    <xf numFmtId="49" fontId="12" fillId="0" borderId="21"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12" fillId="0" borderId="23" xfId="0" applyNumberFormat="1" applyFont="1" applyFill="1" applyBorder="1" applyAlignment="1" applyProtection="1">
      <alignment horizontal="center" vertical="center" wrapText="1"/>
      <protection/>
    </xf>
    <xf numFmtId="49" fontId="12" fillId="0" borderId="26" xfId="0" applyNumberFormat="1" applyFont="1" applyFill="1" applyBorder="1" applyAlignment="1" applyProtection="1">
      <alignment horizontal="center" vertical="center" wrapText="1"/>
      <protection/>
    </xf>
    <xf numFmtId="49" fontId="12" fillId="0" borderId="42" xfId="0" applyNumberFormat="1" applyFont="1" applyFill="1" applyBorder="1" applyAlignment="1" applyProtection="1">
      <alignment horizontal="center" vertical="center" wrapText="1"/>
      <protection/>
    </xf>
    <xf numFmtId="49" fontId="12" fillId="0" borderId="25" xfId="0" applyNumberFormat="1" applyFont="1" applyFill="1" applyBorder="1" applyAlignment="1" applyProtection="1">
      <alignment horizontal="center" vertical="center" wrapText="1"/>
      <protection/>
    </xf>
    <xf numFmtId="49" fontId="12" fillId="0" borderId="46" xfId="0" applyNumberFormat="1" applyFont="1" applyFill="1" applyBorder="1" applyAlignment="1" applyProtection="1">
      <alignment horizontal="center" vertical="center" wrapText="1"/>
      <protection/>
    </xf>
    <xf numFmtId="0" fontId="38" fillId="0" borderId="0" xfId="0" applyNumberFormat="1" applyFont="1" applyFill="1" applyAlignment="1">
      <alignment horizontal="center"/>
    </xf>
    <xf numFmtId="49" fontId="12" fillId="0" borderId="21" xfId="0" applyNumberFormat="1" applyFont="1" applyFill="1" applyBorder="1" applyAlignment="1">
      <alignment vertical="center" wrapText="1"/>
    </xf>
    <xf numFmtId="49" fontId="12" fillId="0" borderId="40" xfId="0" applyNumberFormat="1" applyFont="1" applyFill="1" applyBorder="1" applyAlignment="1">
      <alignment vertical="center" wrapText="1"/>
    </xf>
    <xf numFmtId="49" fontId="12" fillId="0" borderId="23" xfId="0" applyNumberFormat="1" applyFont="1" applyFill="1" applyBorder="1" applyAlignment="1">
      <alignment vertical="center" wrapText="1"/>
    </xf>
    <xf numFmtId="49" fontId="12" fillId="0" borderId="40"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xf>
    <xf numFmtId="1" fontId="12" fillId="0" borderId="42"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0" fontId="34" fillId="0" borderId="0" xfId="0" applyNumberFormat="1" applyFont="1" applyFill="1" applyAlignment="1">
      <alignment horizontal="left"/>
    </xf>
    <xf numFmtId="172" fontId="23" fillId="0" borderId="19" xfId="93" applyNumberFormat="1" applyFont="1" applyFill="1" applyBorder="1" applyAlignment="1" applyProtection="1">
      <alignment horizontal="center" vertical="center"/>
      <protection/>
    </xf>
    <xf numFmtId="0" fontId="23" fillId="0" borderId="0" xfId="0" applyNumberFormat="1" applyFont="1" applyFill="1" applyBorder="1" applyAlignment="1">
      <alignment horizontal="right" vertical="center"/>
    </xf>
    <xf numFmtId="49" fontId="8" fillId="0" borderId="26"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42" xfId="0" applyNumberFormat="1" applyFont="1" applyFill="1" applyBorder="1" applyAlignment="1" applyProtection="1">
      <alignment horizontal="center" vertical="center" wrapText="1"/>
      <protection/>
    </xf>
    <xf numFmtId="49" fontId="21" fillId="0" borderId="46"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0" fontId="17" fillId="0" borderId="47" xfId="0" applyNumberFormat="1" applyFont="1" applyFill="1" applyBorder="1" applyAlignment="1">
      <alignment horizontal="center" vertical="center" wrapText="1"/>
    </xf>
    <xf numFmtId="0" fontId="17" fillId="0" borderId="48" xfId="0" applyNumberFormat="1" applyFont="1" applyFill="1" applyBorder="1" applyAlignment="1">
      <alignment horizontal="center" vertical="center" wrapText="1"/>
    </xf>
    <xf numFmtId="0" fontId="17" fillId="0" borderId="39"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49" fontId="109" fillId="0" borderId="49" xfId="0" applyNumberFormat="1" applyFont="1" applyFill="1" applyBorder="1" applyAlignment="1">
      <alignment horizontal="center"/>
    </xf>
    <xf numFmtId="49" fontId="29" fillId="0" borderId="20" xfId="0" applyNumberFormat="1" applyFont="1" applyFill="1" applyBorder="1" applyAlignment="1" applyProtection="1">
      <alignment horizontal="center" vertical="center" wrapText="1"/>
      <protection/>
    </xf>
    <xf numFmtId="172" fontId="28" fillId="0" borderId="0" xfId="93" applyNumberFormat="1" applyFont="1" applyFill="1" applyBorder="1" applyAlignment="1" applyProtection="1">
      <alignment horizontal="left" vertical="center"/>
      <protection/>
    </xf>
    <xf numFmtId="49" fontId="17" fillId="0" borderId="20" xfId="0" applyNumberFormat="1" applyFont="1" applyFill="1" applyBorder="1" applyAlignment="1">
      <alignment horizontal="center" vertical="center" wrapText="1"/>
    </xf>
    <xf numFmtId="49" fontId="29" fillId="0" borderId="0" xfId="0" applyNumberFormat="1" applyFont="1" applyFill="1" applyAlignment="1">
      <alignment horizontal="left"/>
    </xf>
    <xf numFmtId="0" fontId="109" fillId="0" borderId="0" xfId="0" applyNumberFormat="1" applyFont="1" applyFill="1" applyBorder="1" applyAlignment="1">
      <alignment horizontal="center" wrapText="1"/>
    </xf>
    <xf numFmtId="49" fontId="17" fillId="0" borderId="0" xfId="0" applyNumberFormat="1" applyFont="1" applyFill="1" applyBorder="1" applyAlignment="1">
      <alignment horizontal="left" wrapText="1"/>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17" fillId="0" borderId="20" xfId="0" applyNumberFormat="1" applyFont="1" applyFill="1" applyBorder="1" applyAlignment="1" applyProtection="1">
      <alignment horizontal="center" vertical="center" wrapText="1"/>
      <protection/>
    </xf>
    <xf numFmtId="49" fontId="17" fillId="0" borderId="0" xfId="0" applyNumberFormat="1" applyFont="1" applyFill="1" applyAlignment="1">
      <alignment horizontal="center"/>
    </xf>
    <xf numFmtId="49" fontId="17" fillId="0" borderId="0" xfId="0" applyNumberFormat="1" applyFont="1" applyFill="1" applyAlignment="1">
      <alignment horizontal="center" wrapText="1"/>
    </xf>
    <xf numFmtId="0" fontId="79" fillId="0" borderId="0" xfId="0" applyNumberFormat="1" applyFont="1" applyFill="1" applyAlignment="1">
      <alignment horizontal="center"/>
    </xf>
    <xf numFmtId="49" fontId="17" fillId="0" borderId="48" xfId="0" applyNumberFormat="1" applyFont="1" applyFill="1" applyBorder="1" applyAlignment="1">
      <alignment horizontal="center" vertical="center" wrapText="1"/>
    </xf>
    <xf numFmtId="1" fontId="17" fillId="0" borderId="48" xfId="0" applyNumberFormat="1" applyFont="1" applyFill="1" applyBorder="1" applyAlignment="1">
      <alignment horizontal="center" vertical="center"/>
    </xf>
    <xf numFmtId="49" fontId="17" fillId="0" borderId="48" xfId="0" applyNumberFormat="1" applyFont="1" applyFill="1" applyBorder="1" applyAlignment="1" applyProtection="1">
      <alignment horizontal="center" vertical="center" wrapText="1"/>
      <protection/>
    </xf>
    <xf numFmtId="49" fontId="17" fillId="0" borderId="26" xfId="0" applyNumberFormat="1" applyFont="1" applyFill="1" applyBorder="1" applyAlignment="1" applyProtection="1">
      <alignment horizontal="left" vertical="center"/>
      <protection locked="0"/>
    </xf>
    <xf numFmtId="49" fontId="17" fillId="0" borderId="42"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0" fontId="17" fillId="0" borderId="0" xfId="0" applyNumberFormat="1" applyFont="1" applyFill="1" applyBorder="1" applyAlignment="1">
      <alignment horizontal="left" wrapText="1"/>
    </xf>
    <xf numFmtId="0" fontId="7" fillId="0" borderId="0" xfId="0" applyNumberFormat="1" applyFont="1" applyFill="1" applyBorder="1" applyAlignment="1">
      <alignment horizontal="center" wrapText="1"/>
    </xf>
    <xf numFmtId="49" fontId="79" fillId="0" borderId="39" xfId="0" applyNumberFormat="1" applyFont="1" applyFill="1" applyBorder="1" applyAlignment="1" applyProtection="1">
      <alignment horizontal="center" vertical="center" wrapText="1"/>
      <protection/>
    </xf>
    <xf numFmtId="49" fontId="79"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9" fillId="0" borderId="50" xfId="0" applyNumberFormat="1" applyFont="1" applyFill="1" applyBorder="1" applyAlignment="1" applyProtection="1">
      <alignment horizontal="center" vertical="center" wrapText="1"/>
      <protection/>
    </xf>
    <xf numFmtId="49" fontId="29" fillId="0" borderId="38" xfId="0" applyNumberFormat="1" applyFont="1" applyFill="1" applyBorder="1" applyAlignment="1" applyProtection="1">
      <alignment horizontal="center" vertical="center" wrapText="1"/>
      <protection/>
    </xf>
    <xf numFmtId="0" fontId="23" fillId="0" borderId="0" xfId="0" applyNumberFormat="1" applyFont="1" applyFill="1" applyBorder="1" applyAlignment="1">
      <alignment horizontal="center" vertical="center"/>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49" fontId="10" fillId="0" borderId="26"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0" fontId="34" fillId="0" borderId="0" xfId="137" applyNumberFormat="1" applyFont="1" applyFill="1" applyAlignment="1">
      <alignment horizontal="center" wrapText="1"/>
      <protection/>
    </xf>
    <xf numFmtId="49" fontId="10" fillId="0" borderId="42"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0" fontId="21" fillId="0" borderId="20" xfId="137" applyNumberFormat="1" applyFont="1" applyFill="1" applyBorder="1" applyAlignment="1">
      <alignment horizontal="center" vertical="center" wrapText="1"/>
      <protection/>
    </xf>
    <xf numFmtId="49" fontId="163" fillId="62" borderId="26" xfId="137" applyNumberFormat="1" applyFont="1" applyFill="1" applyBorder="1" applyAlignment="1">
      <alignment horizontal="center" vertical="center"/>
      <protection/>
    </xf>
    <xf numFmtId="49" fontId="163" fillId="62" borderId="25" xfId="137" applyNumberFormat="1" applyFont="1" applyFill="1" applyBorder="1" applyAlignment="1">
      <alignment horizontal="center" vertical="center"/>
      <protection/>
    </xf>
    <xf numFmtId="0" fontId="171" fillId="0" borderId="0" xfId="137" applyNumberFormat="1" applyFont="1" applyFill="1" applyBorder="1" applyAlignment="1">
      <alignment horizont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3"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9" fillId="0" borderId="0" xfId="137" applyNumberFormat="1" applyFont="1" applyFill="1" applyAlignment="1">
      <alignment horizontal="center" vertical="center" wrapText="1"/>
      <protection/>
    </xf>
    <xf numFmtId="49" fontId="0" fillId="0" borderId="0" xfId="137" applyNumberFormat="1" applyFont="1" applyFill="1" applyAlignment="1">
      <alignment horizontal="left"/>
      <protection/>
    </xf>
    <xf numFmtId="0" fontId="31" fillId="0" borderId="0" xfId="137" applyNumberFormat="1" applyFont="1" applyFill="1" applyBorder="1" applyAlignment="1">
      <alignment horizontal="left" vertical="center" wrapText="1"/>
      <protection/>
    </xf>
    <xf numFmtId="49" fontId="8" fillId="0" borderId="0" xfId="137" applyNumberFormat="1" applyFont="1" applyFill="1" applyBorder="1" applyAlignment="1">
      <alignment horizontal="left" vertical="center" wrapText="1"/>
      <protection/>
    </xf>
    <xf numFmtId="49" fontId="23" fillId="0" borderId="0" xfId="137" applyNumberFormat="1" applyFont="1" applyFill="1" applyAlignment="1">
      <alignment horizontal="left"/>
      <protection/>
    </xf>
    <xf numFmtId="49" fontId="12" fillId="0" borderId="0" xfId="137" applyNumberFormat="1" applyFont="1" applyFill="1" applyBorder="1" applyAlignment="1">
      <alignment horizontal="left" vertical="center" wrapText="1"/>
      <protection/>
    </xf>
    <xf numFmtId="0" fontId="38" fillId="0" borderId="0" xfId="137" applyNumberFormat="1" applyFont="1" applyFill="1" applyAlignment="1">
      <alignment horizontal="center"/>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49" fontId="23" fillId="0" borderId="0" xfId="137" applyNumberFormat="1" applyFont="1" applyFill="1" applyAlignment="1">
      <alignment horizontal="center"/>
      <protection/>
    </xf>
    <xf numFmtId="49" fontId="10" fillId="0" borderId="20" xfId="137" applyNumberFormat="1" applyFont="1" applyFill="1" applyBorder="1" applyAlignment="1">
      <alignment horizontal="center" vertical="center" wrapText="1"/>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3" xfId="137" applyNumberFormat="1" applyFont="1" applyFill="1" applyBorder="1" applyAlignment="1">
      <alignment horizontal="center" vertical="center" wrapText="1"/>
      <protection/>
    </xf>
    <xf numFmtId="49" fontId="10" fillId="0" borderId="40" xfId="137" applyNumberFormat="1" applyFont="1" applyFill="1" applyBorder="1" applyAlignment="1">
      <alignment horizontal="center" vertical="center" wrapText="1"/>
      <protection/>
    </xf>
    <xf numFmtId="49" fontId="10" fillId="0" borderId="42"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7" fillId="0" borderId="0" xfId="137" applyNumberFormat="1" applyFont="1" applyFill="1" applyBorder="1" applyAlignment="1">
      <alignment horizontal="left" wrapText="1"/>
      <protection/>
    </xf>
    <xf numFmtId="0" fontId="27" fillId="0" borderId="22" xfId="137" applyNumberFormat="1" applyFont="1" applyFill="1" applyBorder="1" applyAlignment="1">
      <alignment horizontal="center" vertical="center"/>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11" fillId="0" borderId="0" xfId="137" applyNumberFormat="1" applyFont="1" applyFill="1" applyBorder="1" applyAlignment="1">
      <alignment horizontal="left" wrapText="1"/>
      <protection/>
    </xf>
    <xf numFmtId="0" fontId="10" fillId="0" borderId="0" xfId="137" applyNumberFormat="1" applyFont="1" applyFill="1" applyBorder="1" applyAlignment="1">
      <alignment horizontal="left" wrapText="1"/>
      <protection/>
    </xf>
    <xf numFmtId="49" fontId="27" fillId="0" borderId="0" xfId="137" applyNumberFormat="1" applyFont="1" applyFill="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12" fillId="53" borderId="26" xfId="137" applyNumberFormat="1" applyFont="1" applyFill="1" applyBorder="1" applyAlignment="1">
      <alignment horizontal="center"/>
      <protection/>
    </xf>
    <xf numFmtId="49" fontId="12" fillId="53"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3" fontId="23" fillId="0" borderId="19" xfId="137" applyNumberFormat="1" applyFont="1" applyFill="1" applyBorder="1" applyAlignment="1">
      <alignment horizontal="center" vertical="center" wrapText="1"/>
      <protection/>
    </xf>
    <xf numFmtId="49" fontId="7" fillId="0" borderId="0" xfId="137" applyNumberFormat="1" applyFont="1" applyFill="1" applyAlignment="1">
      <alignment horizontal="center" vertical="top" wrapText="1"/>
      <protection/>
    </xf>
    <xf numFmtId="49" fontId="10" fillId="0" borderId="26"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10" fillId="0" borderId="22"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20" xfId="137" applyNumberFormat="1" applyFont="1" applyFill="1" applyBorder="1" applyAlignment="1">
      <alignment horizontal="center"/>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6" xfId="137" applyNumberFormat="1" applyFont="1" applyFill="1" applyBorder="1" applyAlignment="1">
      <alignment horizontal="center" wrapText="1"/>
      <protection/>
    </xf>
    <xf numFmtId="49" fontId="21" fillId="0" borderId="25" xfId="137" applyNumberFormat="1" applyFont="1" applyFill="1" applyBorder="1" applyAlignment="1">
      <alignment horizontal="center" wrapText="1"/>
      <protection/>
    </xf>
    <xf numFmtId="49" fontId="12" fillId="59" borderId="26" xfId="137" applyNumberFormat="1" applyFont="1" applyFill="1" applyBorder="1" applyAlignment="1">
      <alignment horizontal="center" vertical="center" wrapText="1"/>
      <protection/>
    </xf>
    <xf numFmtId="49" fontId="12" fillId="59" borderId="25" xfId="137" applyNumberFormat="1" applyFont="1" applyFill="1" applyBorder="1" applyAlignment="1">
      <alignment horizontal="center" vertical="center" wrapText="1"/>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10" fillId="0" borderId="23"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49" fontId="0" fillId="0" borderId="0" xfId="137" applyNumberFormat="1" applyFont="1" applyFill="1" applyAlignment="1">
      <alignment/>
      <protection/>
    </xf>
    <xf numFmtId="0" fontId="11" fillId="0" borderId="0" xfId="137" applyNumberFormat="1" applyFont="1" applyFill="1" applyAlignment="1">
      <alignment horizontal="left" wrapText="1"/>
      <protection/>
    </xf>
    <xf numFmtId="49" fontId="10" fillId="0" borderId="21" xfId="137" applyNumberFormat="1" applyFont="1" applyFill="1" applyBorder="1" applyAlignment="1">
      <alignment horizontal="center" vertical="center" wrapText="1"/>
      <protection/>
    </xf>
    <xf numFmtId="49" fontId="8" fillId="0" borderId="35" xfId="137" applyNumberFormat="1" applyFont="1" applyFill="1" applyBorder="1" applyAlignment="1">
      <alignment horizontal="center" vertical="center" wrapText="1"/>
      <protection/>
    </xf>
    <xf numFmtId="49" fontId="8" fillId="0" borderId="36" xfId="137" applyNumberFormat="1" applyFont="1" applyFill="1" applyBorder="1" applyAlignment="1">
      <alignment horizontal="center" vertical="center" wrapText="1"/>
      <protection/>
    </xf>
    <xf numFmtId="49" fontId="8" fillId="0" borderId="24" xfId="137" applyNumberFormat="1" applyFont="1" applyFill="1" applyBorder="1" applyAlignment="1">
      <alignment horizontal="center" vertical="center" wrapText="1"/>
      <protection/>
    </xf>
    <xf numFmtId="49" fontId="8" fillId="0" borderId="43" xfId="137" applyNumberFormat="1" applyFont="1" applyFill="1" applyBorder="1" applyAlignment="1">
      <alignment horizontal="center" vertical="center" wrapText="1"/>
      <protection/>
    </xf>
    <xf numFmtId="49" fontId="8" fillId="0" borderId="27" xfId="137" applyNumberFormat="1" applyFont="1" applyFill="1" applyBorder="1" applyAlignment="1">
      <alignment horizontal="center" vertical="center" wrapText="1"/>
      <protection/>
    </xf>
    <xf numFmtId="49" fontId="8" fillId="0" borderId="37" xfId="137" applyNumberFormat="1" applyFont="1" applyFill="1" applyBorder="1" applyAlignment="1">
      <alignment horizontal="center" vertical="center" wrapText="1"/>
      <protection/>
    </xf>
    <xf numFmtId="49" fontId="8" fillId="0" borderId="26" xfId="137" applyNumberFormat="1" applyFont="1" applyFill="1" applyBorder="1" applyAlignment="1">
      <alignment horizontal="center" vertical="center" wrapText="1"/>
      <protection/>
    </xf>
    <xf numFmtId="49" fontId="8" fillId="0" borderId="42" xfId="137" applyNumberFormat="1" applyFont="1" applyFill="1" applyBorder="1" applyAlignment="1">
      <alignment horizontal="center" vertical="center" wrapText="1"/>
      <protection/>
    </xf>
    <xf numFmtId="49" fontId="8" fillId="0" borderId="25" xfId="137" applyNumberFormat="1" applyFont="1" applyFill="1" applyBorder="1" applyAlignment="1">
      <alignment horizontal="center" vertical="center" wrapText="1"/>
      <protection/>
    </xf>
    <xf numFmtId="49" fontId="8" fillId="0" borderId="21" xfId="137" applyNumberFormat="1" applyFont="1" applyFill="1" applyBorder="1" applyAlignment="1">
      <alignment horizontal="center" vertical="center" wrapText="1"/>
      <protection/>
    </xf>
    <xf numFmtId="49" fontId="8" fillId="0" borderId="23" xfId="137" applyNumberFormat="1" applyFont="1" applyFill="1" applyBorder="1" applyAlignment="1">
      <alignment horizontal="center" vertical="center" wrapText="1"/>
      <protection/>
    </xf>
    <xf numFmtId="49" fontId="0" fillId="0" borderId="26" xfId="137" applyNumberFormat="1" applyFont="1" applyFill="1" applyBorder="1" applyAlignment="1">
      <alignment horizontal="center" vertical="center"/>
      <protection/>
    </xf>
    <xf numFmtId="49" fontId="0" fillId="0" borderId="42" xfId="137" applyNumberFormat="1" applyFont="1" applyFill="1" applyBorder="1" applyAlignment="1">
      <alignment horizontal="center" vertical="center"/>
      <protection/>
    </xf>
    <xf numFmtId="49" fontId="0" fillId="0" borderId="25" xfId="137" applyNumberFormat="1" applyFont="1" applyFill="1" applyBorder="1" applyAlignment="1">
      <alignment horizontal="center" vertical="center"/>
      <protection/>
    </xf>
    <xf numFmtId="49" fontId="0" fillId="0" borderId="26" xfId="137" applyNumberFormat="1" applyFont="1" applyFill="1" applyBorder="1" applyAlignment="1">
      <alignment horizontal="center"/>
      <protection/>
    </xf>
    <xf numFmtId="49" fontId="0" fillId="0" borderId="42" xfId="137" applyNumberFormat="1" applyFont="1" applyFill="1" applyBorder="1" applyAlignment="1">
      <alignment horizontal="center"/>
      <protection/>
    </xf>
    <xf numFmtId="49" fontId="0" fillId="0" borderId="25" xfId="137" applyNumberFormat="1" applyFont="1" applyFill="1" applyBorder="1" applyAlignment="1">
      <alignment horizontal="center"/>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22" xfId="137" applyNumberFormat="1" applyFont="1" applyFill="1" applyBorder="1" applyAlignment="1">
      <alignment horizontal="left"/>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30" fillId="0" borderId="0" xfId="141" applyNumberFormat="1" applyFont="1" applyFill="1" applyBorder="1" applyAlignment="1">
      <alignment horizontal="center"/>
      <protection/>
    </xf>
    <xf numFmtId="0" fontId="84" fillId="0" borderId="0" xfId="141"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0" fontId="85" fillId="0" borderId="0" xfId="141" applyNumberFormat="1" applyFont="1" applyFill="1" applyAlignment="1">
      <alignment horizontal="center"/>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0" fontId="36" fillId="0" borderId="19" xfId="141" applyNumberFormat="1" applyFont="1" applyFill="1" applyBorder="1" applyAlignment="1">
      <alignment horizontal="center"/>
      <protection/>
    </xf>
    <xf numFmtId="0" fontId="36"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wrapText="1"/>
      <protection/>
    </xf>
    <xf numFmtId="49" fontId="17" fillId="17" borderId="26" xfId="141" applyNumberFormat="1" applyFont="1" applyFill="1" applyBorder="1" applyAlignment="1">
      <alignment horizontal="center" vertical="center" wrapText="1"/>
      <protection/>
    </xf>
    <xf numFmtId="49" fontId="17" fillId="17" borderId="25" xfId="141" applyNumberFormat="1" applyFont="1" applyFill="1" applyBorder="1" applyAlignment="1">
      <alignment horizontal="center" vertical="center" wrapText="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3" xfId="141" applyNumberFormat="1" applyFont="1" applyFill="1" applyBorder="1" applyAlignment="1">
      <alignment horizontal="center" vertical="center" wrapText="1" readingOrder="1"/>
      <protection/>
    </xf>
    <xf numFmtId="49" fontId="7" fillId="0" borderId="0" xfId="141" applyNumberFormat="1" applyFont="1" applyFill="1" applyAlignment="1">
      <alignment horizontal="left"/>
      <protection/>
    </xf>
    <xf numFmtId="49" fontId="19" fillId="0" borderId="0" xfId="141" applyNumberFormat="1" applyFont="1" applyFill="1" applyAlignment="1">
      <alignment horizontal="center" wrapText="1"/>
      <protection/>
    </xf>
    <xf numFmtId="49"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4" fillId="0" borderId="0" xfId="141" applyFont="1" applyFill="1" applyAlignment="1">
      <alignment horizontal="center"/>
      <protection/>
    </xf>
    <xf numFmtId="0" fontId="17" fillId="0" borderId="0" xfId="141" applyFont="1" applyFill="1" applyBorder="1" applyAlignment="1">
      <alignment horizontal="center" wrapText="1"/>
      <protection/>
    </xf>
    <xf numFmtId="0" fontId="30" fillId="0" borderId="0" xfId="141" applyFont="1" applyFill="1" applyBorder="1" applyAlignment="1">
      <alignment horizontal="center" wrapText="1"/>
      <protection/>
    </xf>
    <xf numFmtId="0" fontId="31" fillId="0" borderId="20" xfId="141" applyFont="1" applyFill="1" applyBorder="1" applyAlignment="1">
      <alignment horizontal="center" vertical="center" wrapText="1"/>
      <protection/>
    </xf>
    <xf numFmtId="0" fontId="111" fillId="0" borderId="20" xfId="141" applyFont="1" applyFill="1" applyBorder="1" applyAlignment="1">
      <alignment horizontal="center" vertical="center"/>
      <protection/>
    </xf>
    <xf numFmtId="0" fontId="36" fillId="0" borderId="0" xfId="141" applyFont="1" applyFill="1" applyBorder="1" applyAlignment="1">
      <alignment horizontal="center" wrapText="1"/>
      <protection/>
    </xf>
    <xf numFmtId="0" fontId="17" fillId="54" borderId="26" xfId="141" applyFont="1" applyFill="1" applyBorder="1" applyAlignment="1">
      <alignment horizontal="center" vertical="center" wrapText="1"/>
      <protection/>
    </xf>
    <xf numFmtId="0" fontId="17" fillId="54" borderId="25" xfId="141" applyFont="1" applyFill="1" applyBorder="1" applyAlignment="1">
      <alignment horizontal="center" vertical="center" wrapText="1"/>
      <protection/>
    </xf>
    <xf numFmtId="0" fontId="87" fillId="0" borderId="20" xfId="141" applyFont="1" applyFill="1" applyBorder="1" applyAlignment="1">
      <alignment horizontal="center" vertical="center"/>
      <protection/>
    </xf>
    <xf numFmtId="0" fontId="31" fillId="0" borderId="20" xfId="141" applyFont="1" applyFill="1" applyBorder="1" applyAlignment="1">
      <alignment horizontal="center" vertical="center"/>
      <protection/>
    </xf>
    <xf numFmtId="0" fontId="23" fillId="0" borderId="0" xfId="141" applyFont="1" applyFill="1" applyBorder="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3" xfId="141" applyNumberFormat="1" applyFont="1" applyFill="1" applyBorder="1" applyAlignment="1">
      <alignment horizontal="center" vertical="center"/>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0" fillId="0" borderId="0" xfId="141" applyFont="1" applyFill="1" applyAlignment="1">
      <alignment horizontal="left"/>
      <protection/>
    </xf>
    <xf numFmtId="0" fontId="0" fillId="0" borderId="0" xfId="141" applyFont="1" applyFill="1" applyAlignment="1">
      <alignment/>
      <protection/>
    </xf>
    <xf numFmtId="0" fontId="38" fillId="0" borderId="0" xfId="141" applyFont="1" applyFill="1" applyAlignment="1">
      <alignment horizontal="center"/>
      <protection/>
    </xf>
    <xf numFmtId="0" fontId="28" fillId="0" borderId="0" xfId="141" applyFont="1" applyFill="1" applyAlignment="1">
      <alignment horizontal="center"/>
      <protection/>
    </xf>
    <xf numFmtId="0" fontId="7" fillId="0" borderId="0" xfId="141" applyNumberFormat="1" applyFont="1" applyFill="1" applyAlignment="1">
      <alignment horizontal="left"/>
      <protection/>
    </xf>
    <xf numFmtId="0" fontId="7" fillId="0" borderId="0" xfId="141" applyNumberFormat="1" applyFont="1" applyFill="1" applyAlignment="1">
      <alignment horizontal="center" wrapText="1"/>
      <protection/>
    </xf>
    <xf numFmtId="0" fontId="7" fillId="0" borderId="0" xfId="141" applyFont="1" applyFill="1" applyBorder="1" applyAlignment="1">
      <alignment horizontal="left"/>
      <protection/>
    </xf>
    <xf numFmtId="49" fontId="30" fillId="0" borderId="0" xfId="141" applyNumberFormat="1" applyFont="1" applyFill="1" applyBorder="1" applyAlignment="1">
      <alignment horizontal="center" wrapText="1"/>
      <protection/>
    </xf>
    <xf numFmtId="49" fontId="36" fillId="0" borderId="0" xfId="141" applyNumberFormat="1" applyFont="1" applyFill="1" applyAlignment="1">
      <alignment horizontal="center"/>
      <protection/>
    </xf>
    <xf numFmtId="0" fontId="36" fillId="0" borderId="0" xfId="141" applyNumberFormat="1" applyFont="1" applyFill="1" applyAlignment="1">
      <alignment horizontal="center"/>
      <protection/>
    </xf>
    <xf numFmtId="0" fontId="10" fillId="0" borderId="21" xfId="0" applyFont="1" applyBorder="1" applyAlignment="1">
      <alignment horizontal="center" vertical="center" wrapText="1"/>
    </xf>
    <xf numFmtId="0" fontId="10" fillId="0" borderId="23" xfId="0" applyFont="1" applyBorder="1" applyAlignment="1">
      <alignment horizontal="center" vertical="center"/>
    </xf>
    <xf numFmtId="0" fontId="10" fillId="0" borderId="21" xfId="0" applyFont="1" applyBorder="1" applyAlignment="1">
      <alignment horizontal="center" wrapText="1"/>
    </xf>
    <xf numFmtId="0" fontId="10" fillId="0" borderId="40" xfId="0" applyFont="1" applyBorder="1" applyAlignment="1">
      <alignment horizontal="center"/>
    </xf>
    <xf numFmtId="0" fontId="10" fillId="0" borderId="23" xfId="0" applyFont="1" applyBorder="1" applyAlignment="1">
      <alignment horizont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11" fillId="56" borderId="26" xfId="0" applyFont="1" applyFill="1" applyBorder="1" applyAlignment="1">
      <alignment horizontal="center" vertical="center"/>
    </xf>
    <xf numFmtId="0" fontId="11" fillId="56" borderId="25" xfId="0" applyFont="1" applyFill="1" applyBorder="1" applyAlignment="1">
      <alignment horizontal="center" vertical="center"/>
    </xf>
    <xf numFmtId="0" fontId="10" fillId="0" borderId="40" xfId="0" applyFont="1" applyBorder="1" applyAlignment="1">
      <alignment horizontal="center" vertical="center"/>
    </xf>
    <xf numFmtId="49" fontId="19" fillId="0" borderId="0" xfId="141" applyNumberFormat="1" applyFont="1" applyFill="1" applyAlignment="1">
      <alignment horizontal="center"/>
      <protection/>
    </xf>
    <xf numFmtId="49" fontId="8" fillId="0" borderId="0" xfId="141" applyNumberFormat="1" applyFont="1" applyFill="1" applyAlignment="1">
      <alignment horizontal="left"/>
      <protection/>
    </xf>
    <xf numFmtId="0" fontId="10" fillId="0" borderId="26" xfId="0" applyFont="1" applyBorder="1" applyAlignment="1">
      <alignment horizontal="center" vertical="center" wrapText="1"/>
    </xf>
    <xf numFmtId="0" fontId="10" fillId="0" borderId="42"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4" xfId="0" applyFont="1" applyBorder="1" applyAlignment="1">
      <alignment horizontal="center" vertical="center"/>
    </xf>
    <xf numFmtId="0" fontId="10" fillId="0" borderId="43" xfId="0"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1"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18" fillId="0" borderId="0" xfId="141" applyNumberFormat="1" applyFont="1" applyFill="1" applyAlignment="1">
      <alignment horizontal="center"/>
      <protection/>
    </xf>
    <xf numFmtId="49" fontId="17" fillId="0" borderId="21" xfId="141" applyNumberFormat="1" applyFont="1" applyFill="1" applyBorder="1" applyAlignment="1">
      <alignment horizontal="center" vertical="center" wrapText="1"/>
      <protection/>
    </xf>
    <xf numFmtId="49" fontId="17" fillId="0" borderId="40" xfId="141" applyNumberFormat="1" applyFont="1" applyFill="1" applyBorder="1" applyAlignment="1">
      <alignment horizontal="center" vertical="center" wrapText="1"/>
      <protection/>
    </xf>
    <xf numFmtId="0" fontId="10" fillId="0" borderId="26" xfId="0" applyFont="1" applyBorder="1" applyAlignment="1">
      <alignment horizontal="center" wrapText="1"/>
    </xf>
    <xf numFmtId="0" fontId="10" fillId="0" borderId="42" xfId="0" applyFont="1" applyBorder="1" applyAlignment="1">
      <alignment horizontal="center"/>
    </xf>
    <xf numFmtId="0" fontId="10" fillId="0" borderId="25" xfId="0" applyFont="1" applyBorder="1" applyAlignment="1">
      <alignment horizontal="center"/>
    </xf>
    <xf numFmtId="0" fontId="36" fillId="0" borderId="0" xfId="141" applyNumberFormat="1" applyFont="1" applyFill="1" applyBorder="1" applyAlignment="1">
      <alignment horizontal="center"/>
      <protection/>
    </xf>
    <xf numFmtId="0" fontId="93" fillId="0" borderId="0" xfId="141" applyNumberFormat="1" applyFont="1" applyFill="1" applyAlignment="1">
      <alignment horizontal="center"/>
      <protection/>
    </xf>
    <xf numFmtId="0" fontId="10" fillId="53" borderId="26" xfId="0" applyFont="1" applyFill="1" applyBorder="1" applyAlignment="1">
      <alignment horizontal="center" vertical="center"/>
    </xf>
    <xf numFmtId="0" fontId="10" fillId="53" borderId="2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0" xfId="141" applyFont="1" applyFill="1" applyBorder="1" applyAlignment="1">
      <alignment horizontal="left"/>
      <protection/>
    </xf>
    <xf numFmtId="0" fontId="0" fillId="0" borderId="0" xfId="141" applyFont="1" applyFill="1" applyBorder="1" applyAlignment="1">
      <alignment/>
      <protection/>
    </xf>
    <xf numFmtId="0" fontId="18" fillId="0" borderId="0" xfId="141" applyFont="1" applyFill="1" applyBorder="1" applyAlignment="1">
      <alignment horizontal="center"/>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7" fillId="0" borderId="0" xfId="141" applyFont="1" applyFill="1" applyBorder="1" applyAlignment="1">
      <alignment horizontal="left"/>
      <protection/>
    </xf>
    <xf numFmtId="0" fontId="84" fillId="0" borderId="0" xfId="141" applyNumberFormat="1" applyFont="1" applyFill="1" applyAlignment="1">
      <alignment horizontal="center"/>
      <protection/>
    </xf>
    <xf numFmtId="49" fontId="36" fillId="0" borderId="0" xfId="141" applyNumberFormat="1" applyFont="1" applyFill="1" applyBorder="1" applyAlignment="1">
      <alignment horizontal="center" wrapText="1"/>
      <protection/>
    </xf>
    <xf numFmtId="49" fontId="7" fillId="0" borderId="0" xfId="141" applyNumberFormat="1" applyFont="1" applyFill="1" applyAlignment="1">
      <alignment horizontal="left"/>
      <protection/>
    </xf>
    <xf numFmtId="0" fontId="0" fillId="0" borderId="0" xfId="141" applyNumberFormat="1" applyFont="1" applyFill="1" applyBorder="1" applyAlignment="1">
      <alignment horizontal="left" vertical="top" wrapText="1"/>
      <protection/>
    </xf>
    <xf numFmtId="0" fontId="7" fillId="0" borderId="0" xfId="141" applyNumberFormat="1" applyFont="1" applyFill="1" applyBorder="1" applyAlignment="1">
      <alignment horizontal="left" vertical="top" wrapText="1"/>
      <protection/>
    </xf>
    <xf numFmtId="49" fontId="0" fillId="0" borderId="0" xfId="141" applyNumberFormat="1" applyFont="1" applyFill="1" applyAlignment="1">
      <alignment horizontal="left" vertical="top" wrapText="1"/>
      <protection/>
    </xf>
    <xf numFmtId="49" fontId="79" fillId="0" borderId="20" xfId="141" applyNumberFormat="1" applyFont="1" applyFill="1" applyBorder="1" applyAlignment="1">
      <alignment horizontal="center" vertical="center" wrapText="1"/>
      <protection/>
    </xf>
    <xf numFmtId="49" fontId="17" fillId="60" borderId="20" xfId="141" applyNumberFormat="1" applyFont="1" applyFill="1" applyBorder="1" applyAlignment="1">
      <alignment horizontal="center" vertical="center" wrapText="1"/>
      <protection/>
    </xf>
    <xf numFmtId="49" fontId="11"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wrapText="1"/>
      <protection/>
    </xf>
    <xf numFmtId="49"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19" fillId="0" borderId="0" xfId="141" applyNumberFormat="1" applyFont="1" applyFill="1" applyAlignment="1">
      <alignment horizontal="center" wrapText="1"/>
      <protection/>
    </xf>
    <xf numFmtId="0" fontId="0" fillId="0" borderId="0" xfId="141" applyNumberFormat="1" applyFont="1" applyFill="1" applyBorder="1" applyAlignment="1">
      <alignment horizontal="justify" vertical="top" wrapText="1"/>
      <protection/>
    </xf>
    <xf numFmtId="0" fontId="0" fillId="0" borderId="0" xfId="141" applyNumberFormat="1" applyFont="1" applyFill="1" applyBorder="1" applyAlignment="1">
      <alignment horizontal="justify" vertical="top"/>
      <protection/>
    </xf>
    <xf numFmtId="0" fontId="0" fillId="0" borderId="0" xfId="141" applyNumberFormat="1" applyFont="1" applyFill="1" applyBorder="1" applyAlignment="1">
      <alignment horizontal="left" wrapText="1"/>
      <protection/>
    </xf>
    <xf numFmtId="0" fontId="0"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17" borderId="26" xfId="141" applyNumberFormat="1" applyFont="1" applyFill="1" applyBorder="1" applyAlignment="1">
      <alignment horizontal="center" vertical="center" wrapText="1"/>
      <protection/>
    </xf>
    <xf numFmtId="49" fontId="12" fillId="17" borderId="25" xfId="141" applyNumberFormat="1" applyFont="1" applyFill="1" applyBorder="1" applyAlignment="1">
      <alignment horizontal="center" vertical="center" wrapText="1"/>
      <protection/>
    </xf>
    <xf numFmtId="0" fontId="11" fillId="0" borderId="0" xfId="141" applyNumberFormat="1" applyFont="1" applyFill="1" applyAlignment="1">
      <alignment horizontal="left"/>
      <protection/>
    </xf>
    <xf numFmtId="49" fontId="24" fillId="0" borderId="0" xfId="141" applyNumberFormat="1" applyFont="1" applyFill="1" applyAlignment="1">
      <alignment horizontal="center"/>
      <protection/>
    </xf>
    <xf numFmtId="49" fontId="11" fillId="0" borderId="40" xfId="141" applyNumberFormat="1" applyFont="1" applyFill="1" applyBorder="1" applyAlignment="1">
      <alignment horizontal="center" vertical="center" wrapText="1"/>
      <protection/>
    </xf>
    <xf numFmtId="49" fontId="0" fillId="0" borderId="0" xfId="141" applyNumberFormat="1" applyFont="1" applyFill="1" applyBorder="1" applyAlignment="1">
      <alignment horizontal="left"/>
      <protection/>
    </xf>
    <xf numFmtId="49" fontId="23" fillId="0" borderId="22" xfId="141" applyNumberFormat="1" applyFont="1" applyFill="1" applyBorder="1" applyAlignment="1">
      <alignment horizontal="left"/>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11" fillId="0" borderId="42" xfId="141" applyNumberFormat="1" applyFont="1" applyFill="1" applyBorder="1" applyAlignment="1">
      <alignment horizontal="center" vertical="center" wrapText="1"/>
      <protection/>
    </xf>
    <xf numFmtId="49" fontId="11" fillId="0" borderId="2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8" fillId="0" borderId="0" xfId="141" applyNumberFormat="1" applyFont="1" applyFill="1" applyBorder="1" applyAlignment="1">
      <alignment horizontal="left"/>
      <protection/>
    </xf>
    <xf numFmtId="49" fontId="12" fillId="0" borderId="0" xfId="141" applyNumberFormat="1" applyFont="1" applyFill="1" applyAlignment="1">
      <alignment horizontal="left"/>
      <protection/>
    </xf>
    <xf numFmtId="49" fontId="8" fillId="0" borderId="0" xfId="141" applyNumberFormat="1" applyFont="1" applyFill="1" applyAlignment="1">
      <alignment/>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53" borderId="26" xfId="141" applyNumberFormat="1" applyFont="1" applyFill="1" applyBorder="1" applyAlignment="1">
      <alignment horizontal="center" vertical="center"/>
      <protection/>
    </xf>
    <xf numFmtId="49" fontId="11" fillId="53" borderId="25" xfId="141" applyNumberFormat="1" applyFont="1" applyFill="1" applyBorder="1" applyAlignment="1">
      <alignment horizontal="center" vertical="center"/>
      <protection/>
    </xf>
    <xf numFmtId="49" fontId="11" fillId="0" borderId="35"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11" fillId="0" borderId="24" xfId="141" applyNumberFormat="1" applyFont="1" applyFill="1" applyBorder="1" applyAlignment="1">
      <alignment horizontal="center" vertical="center" wrapText="1"/>
      <protection/>
    </xf>
    <xf numFmtId="49" fontId="11" fillId="0" borderId="43" xfId="141" applyNumberFormat="1" applyFont="1" applyFill="1" applyBorder="1" applyAlignment="1">
      <alignment horizontal="center" vertical="center" wrapText="1"/>
      <protection/>
    </xf>
    <xf numFmtId="0" fontId="87" fillId="0" borderId="42" xfId="141" applyFont="1" applyFill="1" applyBorder="1" applyAlignment="1">
      <alignment horizontal="center" vertical="center" wrapText="1"/>
      <protection/>
    </xf>
    <xf numFmtId="0" fontId="87" fillId="0" borderId="25" xfId="141" applyFont="1" applyFill="1" applyBorder="1" applyAlignment="1">
      <alignment horizontal="center" vertical="center" wrapText="1"/>
      <protection/>
    </xf>
    <xf numFmtId="49" fontId="18" fillId="0" borderId="22" xfId="141" applyNumberFormat="1" applyFont="1" applyFill="1" applyBorder="1" applyAlignment="1">
      <alignment horizontal="center" vertical="center"/>
      <protection/>
    </xf>
    <xf numFmtId="0" fontId="27" fillId="0" borderId="0" xfId="141" applyNumberFormat="1" applyFont="1" applyFill="1" applyBorder="1" applyAlignment="1">
      <alignment horizontal="center"/>
      <protection/>
    </xf>
    <xf numFmtId="0" fontId="12" fillId="0" borderId="20"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11" fillId="0" borderId="25"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0" fontId="19" fillId="0" borderId="0" xfId="141" applyNumberFormat="1" applyFont="1" applyFill="1" applyAlignment="1">
      <alignment horizontal="center"/>
      <protection/>
    </xf>
    <xf numFmtId="0" fontId="23" fillId="0" borderId="0" xfId="141" applyFont="1" applyFill="1" applyBorder="1" applyAlignment="1">
      <alignment horizontal="left"/>
      <protection/>
    </xf>
    <xf numFmtId="0" fontId="18" fillId="0" borderId="0" xfId="141" applyFont="1" applyFill="1" applyAlignment="1">
      <alignment horizontal="center"/>
      <protection/>
    </xf>
    <xf numFmtId="0" fontId="12" fillId="0" borderId="0" xfId="141" applyNumberFormat="1" applyFont="1" applyFill="1" applyAlignment="1">
      <alignment horizontal="left"/>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3"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0" fillId="0" borderId="0" xfId="141" applyNumberFormat="1" applyFont="1" applyFill="1" applyAlignment="1">
      <alignment horizontal="center"/>
      <protection/>
    </xf>
    <xf numFmtId="0" fontId="36" fillId="0" borderId="0" xfId="141" applyNumberFormat="1" applyFont="1" applyFill="1" applyBorder="1" applyAlignment="1">
      <alignment horizontal="justify" vertical="justify" wrapText="1"/>
      <protection/>
    </xf>
    <xf numFmtId="0" fontId="34" fillId="0" borderId="0" xfId="141" applyNumberFormat="1" applyFont="1" applyFill="1" applyBorder="1" applyAlignment="1">
      <alignment horizont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20" xfId="141" applyNumberFormat="1" applyFont="1" applyFill="1" applyBorder="1" applyAlignment="1">
      <alignment horizontal="center" wrapText="1"/>
      <protection/>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20" xfId="141" applyNumberFormat="1" applyFont="1" applyFill="1" applyBorder="1" applyAlignment="1">
      <alignment horizontal="center" vertical="center"/>
      <protection/>
    </xf>
    <xf numFmtId="0" fontId="0" fillId="0" borderId="0" xfId="141" applyNumberFormat="1" applyFont="1" applyFill="1" applyAlignment="1">
      <alignment horizontal="left"/>
      <protection/>
    </xf>
    <xf numFmtId="0"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19" fillId="0" borderId="0" xfId="141" applyNumberFormat="1" applyFont="1" applyFill="1" applyAlignment="1">
      <alignment horizontal="center"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C_thong_ke_theo_TT01_BTP"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dxfs count="28">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rgb="FFFF0000"/>
      </font>
      <fill>
        <patternFill patternType="none">
          <bgColor indexed="65"/>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2383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35</xdr:row>
      <xdr:rowOff>0</xdr:rowOff>
    </xdr:from>
    <xdr:ext cx="85725" cy="466725"/>
    <xdr:sp fLocksText="0">
      <xdr:nvSpPr>
        <xdr:cNvPr id="1" name="Text Box 1"/>
        <xdr:cNvSpPr txBox="1">
          <a:spLocks noChangeArrowheads="1"/>
        </xdr:cNvSpPr>
      </xdr:nvSpPr>
      <xdr:spPr>
        <a:xfrm>
          <a:off x="409575" y="7362825"/>
          <a:ext cx="85725" cy="466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6"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7"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8"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9"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0"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1"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2"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3"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4"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5"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6"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7"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8"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9"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0"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1"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2"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3"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4"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5"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6"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7"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8" name="Text Box 7"/>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9" name="Text Box 11"/>
        <xdr:cNvSpPr txBox="1">
          <a:spLocks noChangeArrowheads="1"/>
        </xdr:cNvSpPr>
      </xdr:nvSpPr>
      <xdr:spPr>
        <a:xfrm>
          <a:off x="1466850" y="791527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9441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04800"/>
    <xdr:sp fLocksText="0">
      <xdr:nvSpPr>
        <xdr:cNvPr id="1"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5"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6"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8"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9"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1"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2"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4"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5"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7"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8"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0"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1"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3"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4"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6"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7"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9"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0"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2"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3"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5"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6" name="Text Box 7"/>
        <xdr:cNvSpPr txBox="1">
          <a:spLocks noChangeArrowheads="1"/>
        </xdr:cNvSpPr>
      </xdr:nvSpPr>
      <xdr:spPr>
        <a:xfrm>
          <a:off x="314325" y="661987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6198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8" name="Text Box 1"/>
        <xdr:cNvSpPr txBox="1">
          <a:spLocks noChangeArrowheads="1"/>
        </xdr:cNvSpPr>
      </xdr:nvSpPr>
      <xdr:spPr>
        <a:xfrm>
          <a:off x="314325" y="661987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342900"/>
    <xdr:sp fLocksText="0">
      <xdr:nvSpPr>
        <xdr:cNvPr id="39" name="Text Box 7"/>
        <xdr:cNvSpPr txBox="1">
          <a:spLocks noChangeArrowheads="1"/>
        </xdr:cNvSpPr>
      </xdr:nvSpPr>
      <xdr:spPr>
        <a:xfrm>
          <a:off x="314325" y="715327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104775"/>
    <xdr:sp fLocksText="0">
      <xdr:nvSpPr>
        <xdr:cNvPr id="40" name="Text Box 1"/>
        <xdr:cNvSpPr txBox="1">
          <a:spLocks noChangeArrowheads="1"/>
        </xdr:cNvSpPr>
      </xdr:nvSpPr>
      <xdr:spPr>
        <a:xfrm>
          <a:off x="314325" y="71532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200025"/>
    <xdr:sp fLocksText="0">
      <xdr:nvSpPr>
        <xdr:cNvPr id="41" name="Text Box 1"/>
        <xdr:cNvSpPr txBox="1">
          <a:spLocks noChangeArrowheads="1"/>
        </xdr:cNvSpPr>
      </xdr:nvSpPr>
      <xdr:spPr>
        <a:xfrm>
          <a:off x="314325" y="71532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514350"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5429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BAO%20C&#193;O%20C&#193;C%20HUY&#7878;N%2010%20TH&#193;NG%202016\Tp\B&#225;o%20c&#225;o%20th&#7889;ng%20k&#7871;%20theo%20bi&#7875;u%20m&#7851;u%20m&#7899;i%2010%20th&#225;ng%20n&#259;m%202016%20(version%201)%20(version%201)%20-%20Co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258;M%202016-2017%20B&#193;O%20C&#193;O\BC%20TH&#212;NG%20K&#202;%20HUY&#202;N%209%20TH&#193;NG%20N&#258;M%202017\NH\9%20thang%202017-%20co%20q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Q. Huy(biểu5)"/>
      <sheetName val="Hồng(biểu5)"/>
      <sheetName val="A. Huy (biểu 5)"/>
      <sheetName val="Tiến (biểu 5)"/>
      <sheetName val="Úy (biểu 5)"/>
      <sheetName val="Cường(biểu 5)"/>
      <sheetName val="Đ. Thủy (biểu 5)"/>
      <sheetName val="C. Thủy (biểu 5)"/>
      <sheetName val="Q. Huy(tiềnTD)"/>
      <sheetName val="Hồng(tiềnTD)"/>
      <sheetName val="A. Huy(tiềnTD)"/>
      <sheetName val="Tiến( tiền TD)"/>
      <sheetName val="Úy( tiền TD)"/>
      <sheetName val="Cường(tiềnTD)"/>
      <sheetName val="Đỗ Thủy (tiềnTD)"/>
      <sheetName val="C. Thủy ( tiền TD)"/>
      <sheetName val="Q. Huy(tiềnCD)"/>
      <sheetName val="Hồng (tiềnCD)"/>
      <sheetName val="A. Huy(tiềnCD)"/>
      <sheetName val="Tiến(tiềnCD)"/>
      <sheetName val="Úy(tiềnCD)"/>
      <sheetName val="Cường(tiềnCD)"/>
      <sheetName val="Đỗ Thủy(tiền CD)"/>
      <sheetName val="C. Thủy(tiềnCD)"/>
      <sheetName val="Q. Huy TD"/>
      <sheetName val="D. Hồng TD"/>
      <sheetName val="A. Huy "/>
      <sheetName val="Đ. Tiến"/>
      <sheetName val="Úy "/>
      <sheetName val="Q. Cường"/>
      <sheetName val="H. Thủy"/>
      <sheetName val="C. Thuy TD"/>
      <sheetName val="Q. Huy"/>
      <sheetName val="Hồng"/>
      <sheetName val="A. Huy"/>
      <sheetName val="Tiến"/>
      <sheetName val="Úy"/>
      <sheetName val="Cường"/>
      <sheetName val="H. Thủy CD"/>
      <sheetName val="c. THỦY. CD"/>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269" t="s">
        <v>27</v>
      </c>
      <c r="B1" s="1269"/>
      <c r="C1" s="1266" t="s">
        <v>90</v>
      </c>
      <c r="D1" s="1266"/>
      <c r="E1" s="1266"/>
      <c r="F1" s="1270" t="s">
        <v>86</v>
      </c>
      <c r="G1" s="1270"/>
      <c r="H1" s="1270"/>
    </row>
    <row r="2" spans="1:8" ht="33.75" customHeight="1">
      <c r="A2" s="1271" t="s">
        <v>94</v>
      </c>
      <c r="B2" s="1271"/>
      <c r="C2" s="1266"/>
      <c r="D2" s="1266"/>
      <c r="E2" s="1266"/>
      <c r="F2" s="1263" t="s">
        <v>87</v>
      </c>
      <c r="G2" s="1263"/>
      <c r="H2" s="1263"/>
    </row>
    <row r="3" spans="1:8" ht="19.5" customHeight="1">
      <c r="A3" s="9" t="s">
        <v>80</v>
      </c>
      <c r="B3" s="9"/>
      <c r="C3" s="27"/>
      <c r="D3" s="27"/>
      <c r="E3" s="27"/>
      <c r="F3" s="1263" t="s">
        <v>88</v>
      </c>
      <c r="G3" s="1263"/>
      <c r="H3" s="1263"/>
    </row>
    <row r="4" spans="1:8" s="10" customFormat="1" ht="19.5" customHeight="1">
      <c r="A4" s="9"/>
      <c r="B4" s="9"/>
      <c r="D4" s="11"/>
      <c r="F4" s="12" t="s">
        <v>89</v>
      </c>
      <c r="G4" s="12"/>
      <c r="H4" s="12"/>
    </row>
    <row r="5" spans="1:8" s="26" customFormat="1" ht="36" customHeight="1">
      <c r="A5" s="1282" t="s">
        <v>71</v>
      </c>
      <c r="B5" s="1283"/>
      <c r="C5" s="1286" t="s">
        <v>84</v>
      </c>
      <c r="D5" s="1287"/>
      <c r="E5" s="1288" t="s">
        <v>83</v>
      </c>
      <c r="F5" s="1288"/>
      <c r="G5" s="1288"/>
      <c r="H5" s="1265"/>
    </row>
    <row r="6" spans="1:8" s="26" customFormat="1" ht="20.25" customHeight="1">
      <c r="A6" s="1284"/>
      <c r="B6" s="1285"/>
      <c r="C6" s="1267" t="s">
        <v>3</v>
      </c>
      <c r="D6" s="1267" t="s">
        <v>91</v>
      </c>
      <c r="E6" s="1264" t="s">
        <v>85</v>
      </c>
      <c r="F6" s="1265"/>
      <c r="G6" s="1264" t="s">
        <v>92</v>
      </c>
      <c r="H6" s="1265"/>
    </row>
    <row r="7" spans="1:8" s="26" customFormat="1" ht="52.5" customHeight="1">
      <c r="A7" s="1284"/>
      <c r="B7" s="1285"/>
      <c r="C7" s="1268"/>
      <c r="D7" s="1268"/>
      <c r="E7" s="8" t="s">
        <v>3</v>
      </c>
      <c r="F7" s="8" t="s">
        <v>10</v>
      </c>
      <c r="G7" s="8" t="s">
        <v>3</v>
      </c>
      <c r="H7" s="8" t="s">
        <v>10</v>
      </c>
    </row>
    <row r="8" spans="1:8" ht="15" customHeight="1">
      <c r="A8" s="1273" t="s">
        <v>6</v>
      </c>
      <c r="B8" s="1274"/>
      <c r="C8" s="13">
        <v>1</v>
      </c>
      <c r="D8" s="13" t="s">
        <v>52</v>
      </c>
      <c r="E8" s="13" t="s">
        <v>57</v>
      </c>
      <c r="F8" s="13" t="s">
        <v>72</v>
      </c>
      <c r="G8" s="13" t="s">
        <v>73</v>
      </c>
      <c r="H8" s="13" t="s">
        <v>74</v>
      </c>
    </row>
    <row r="9" spans="1:8" ht="26.25" customHeight="1">
      <c r="A9" s="1275" t="s">
        <v>40</v>
      </c>
      <c r="B9" s="1276"/>
      <c r="C9" s="13"/>
      <c r="D9" s="13"/>
      <c r="E9" s="13"/>
      <c r="F9" s="13"/>
      <c r="G9" s="13"/>
      <c r="H9" s="13"/>
    </row>
    <row r="10" spans="1:8" ht="24.75" customHeight="1">
      <c r="A10" s="14" t="s">
        <v>0</v>
      </c>
      <c r="B10" s="15" t="s">
        <v>11</v>
      </c>
      <c r="C10" s="7"/>
      <c r="D10" s="16"/>
      <c r="E10" s="16"/>
      <c r="F10" s="16"/>
      <c r="G10" s="16"/>
      <c r="H10" s="16"/>
    </row>
    <row r="11" spans="1:8" ht="24.75" customHeight="1">
      <c r="A11" s="17" t="s">
        <v>1</v>
      </c>
      <c r="B11" s="18" t="s">
        <v>12</v>
      </c>
      <c r="C11" s="7"/>
      <c r="D11" s="16"/>
      <c r="E11" s="16"/>
      <c r="F11" s="16"/>
      <c r="G11" s="16"/>
      <c r="H11" s="16"/>
    </row>
    <row r="12" spans="1:8" ht="24.75" customHeight="1">
      <c r="A12" s="19" t="s">
        <v>51</v>
      </c>
      <c r="B12" s="7" t="s">
        <v>13</v>
      </c>
      <c r="C12" s="7"/>
      <c r="D12" s="16"/>
      <c r="E12" s="16"/>
      <c r="F12" s="16"/>
      <c r="G12" s="16"/>
      <c r="H12" s="16"/>
    </row>
    <row r="13" spans="1:8" ht="24.75" customHeight="1">
      <c r="A13" s="19" t="s">
        <v>52</v>
      </c>
      <c r="B13" s="7" t="s">
        <v>13</v>
      </c>
      <c r="C13" s="7"/>
      <c r="D13" s="16"/>
      <c r="E13" s="16"/>
      <c r="F13" s="16"/>
      <c r="G13" s="16"/>
      <c r="H13" s="16"/>
    </row>
    <row r="14" spans="1:8" ht="24.75" customHeight="1">
      <c r="A14" s="19" t="s">
        <v>57</v>
      </c>
      <c r="B14" s="7" t="s">
        <v>13</v>
      </c>
      <c r="C14" s="7"/>
      <c r="D14" s="16"/>
      <c r="E14" s="16"/>
      <c r="F14" s="16"/>
      <c r="G14" s="16"/>
      <c r="H14" s="16"/>
    </row>
    <row r="15" spans="1:8" ht="24.75" customHeight="1">
      <c r="A15" s="19" t="s">
        <v>19</v>
      </c>
      <c r="B15" s="28" t="s">
        <v>19</v>
      </c>
      <c r="C15" s="20"/>
      <c r="D15" s="21"/>
      <c r="E15" s="21"/>
      <c r="F15" s="21"/>
      <c r="G15" s="21"/>
      <c r="H15" s="21"/>
    </row>
    <row r="16" spans="2:8" ht="16.5" customHeight="1">
      <c r="B16" s="1277" t="s">
        <v>67</v>
      </c>
      <c r="C16" s="1277"/>
      <c r="D16" s="29"/>
      <c r="E16" s="1279" t="s">
        <v>20</v>
      </c>
      <c r="F16" s="1279"/>
      <c r="G16" s="1279"/>
      <c r="H16" s="1279"/>
    </row>
    <row r="17" spans="2:8" ht="15.75" customHeight="1">
      <c r="B17" s="1277"/>
      <c r="C17" s="1277"/>
      <c r="D17" s="29"/>
      <c r="E17" s="1280" t="s">
        <v>45</v>
      </c>
      <c r="F17" s="1280"/>
      <c r="G17" s="1280"/>
      <c r="H17" s="1280"/>
    </row>
    <row r="18" spans="2:8" s="30" customFormat="1" ht="15.75" customHeight="1">
      <c r="B18" s="1277"/>
      <c r="C18" s="1277"/>
      <c r="D18" s="31"/>
      <c r="E18" s="1281" t="s">
        <v>66</v>
      </c>
      <c r="F18" s="1281"/>
      <c r="G18" s="1281"/>
      <c r="H18" s="1281"/>
    </row>
    <row r="20" ht="15.75">
      <c r="B20" s="22"/>
    </row>
    <row r="22" ht="15.75" hidden="1">
      <c r="A22" s="23" t="s">
        <v>48</v>
      </c>
    </row>
    <row r="23" spans="1:3" ht="15.75" hidden="1">
      <c r="A23" s="24"/>
      <c r="B23" s="1278" t="s">
        <v>58</v>
      </c>
      <c r="C23" s="1278"/>
    </row>
    <row r="24" spans="1:8" ht="15.75" customHeight="1" hidden="1">
      <c r="A24" s="25" t="s">
        <v>26</v>
      </c>
      <c r="B24" s="1272" t="s">
        <v>62</v>
      </c>
      <c r="C24" s="1272"/>
      <c r="D24" s="25"/>
      <c r="E24" s="25"/>
      <c r="F24" s="25"/>
      <c r="G24" s="25"/>
      <c r="H24" s="25"/>
    </row>
    <row r="25" spans="1:8" ht="15" customHeight="1" hidden="1">
      <c r="A25" s="25"/>
      <c r="B25" s="1272" t="s">
        <v>65</v>
      </c>
      <c r="C25" s="1272"/>
      <c r="D25" s="1272"/>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464" t="s">
        <v>322</v>
      </c>
      <c r="B1" s="1464"/>
      <c r="C1" s="1464"/>
      <c r="D1" s="1467" t="s">
        <v>449</v>
      </c>
      <c r="E1" s="1467"/>
      <c r="F1" s="1467"/>
      <c r="G1" s="1467"/>
      <c r="H1" s="1467"/>
      <c r="I1" s="1467"/>
      <c r="J1" s="200" t="s">
        <v>450</v>
      </c>
      <c r="K1" s="331"/>
      <c r="L1" s="331"/>
    </row>
    <row r="2" spans="1:12" ht="18.75" customHeight="1">
      <c r="A2" s="1465" t="s">
        <v>408</v>
      </c>
      <c r="B2" s="1465"/>
      <c r="C2" s="1465"/>
      <c r="D2" s="1555" t="s">
        <v>323</v>
      </c>
      <c r="E2" s="1555"/>
      <c r="F2" s="1555"/>
      <c r="G2" s="1555"/>
      <c r="H2" s="1555"/>
      <c r="I2" s="1555"/>
      <c r="J2" s="1464" t="s">
        <v>451</v>
      </c>
      <c r="K2" s="1464"/>
      <c r="L2" s="1464"/>
    </row>
    <row r="3" spans="1:12" ht="17.25">
      <c r="A3" s="1465" t="s">
        <v>360</v>
      </c>
      <c r="B3" s="1465"/>
      <c r="C3" s="1465"/>
      <c r="D3" s="1556" t="s">
        <v>452</v>
      </c>
      <c r="E3" s="1557"/>
      <c r="F3" s="1557"/>
      <c r="G3" s="1557"/>
      <c r="H3" s="1557"/>
      <c r="I3" s="1557"/>
      <c r="J3" s="203" t="s">
        <v>468</v>
      </c>
      <c r="K3" s="203"/>
      <c r="L3" s="203"/>
    </row>
    <row r="4" spans="1:12" ht="15.75">
      <c r="A4" s="1552" t="s">
        <v>453</v>
      </c>
      <c r="B4" s="1552"/>
      <c r="C4" s="1552"/>
      <c r="D4" s="1553"/>
      <c r="E4" s="1553"/>
      <c r="F4" s="1553"/>
      <c r="G4" s="1553"/>
      <c r="H4" s="1553"/>
      <c r="I4" s="1553"/>
      <c r="J4" s="1481" t="s">
        <v>410</v>
      </c>
      <c r="K4" s="1481"/>
      <c r="L4" s="1481"/>
    </row>
    <row r="5" spans="1:13" ht="15.75">
      <c r="A5" s="333"/>
      <c r="B5" s="333"/>
      <c r="C5" s="334"/>
      <c r="D5" s="334"/>
      <c r="E5" s="202"/>
      <c r="J5" s="335" t="s">
        <v>454</v>
      </c>
      <c r="K5" s="250"/>
      <c r="L5" s="250"/>
      <c r="M5" s="250"/>
    </row>
    <row r="6" spans="1:13" s="338" customFormat="1" ht="24.75" customHeight="1">
      <c r="A6" s="1546" t="s">
        <v>71</v>
      </c>
      <c r="B6" s="1547"/>
      <c r="C6" s="1544" t="s">
        <v>455</v>
      </c>
      <c r="D6" s="1544"/>
      <c r="E6" s="1544"/>
      <c r="F6" s="1544"/>
      <c r="G6" s="1544"/>
      <c r="H6" s="1544"/>
      <c r="I6" s="1544" t="s">
        <v>324</v>
      </c>
      <c r="J6" s="1544"/>
      <c r="K6" s="1544"/>
      <c r="L6" s="1544"/>
      <c r="M6" s="337"/>
    </row>
    <row r="7" spans="1:13" s="338" customFormat="1" ht="17.25" customHeight="1">
      <c r="A7" s="1548"/>
      <c r="B7" s="1549"/>
      <c r="C7" s="1544" t="s">
        <v>37</v>
      </c>
      <c r="D7" s="1544"/>
      <c r="E7" s="1544" t="s">
        <v>7</v>
      </c>
      <c r="F7" s="1544"/>
      <c r="G7" s="1544"/>
      <c r="H7" s="1544"/>
      <c r="I7" s="1544" t="s">
        <v>325</v>
      </c>
      <c r="J7" s="1544"/>
      <c r="K7" s="1544" t="s">
        <v>326</v>
      </c>
      <c r="L7" s="1544"/>
      <c r="M7" s="337"/>
    </row>
    <row r="8" spans="1:12" s="338" customFormat="1" ht="27.75" customHeight="1">
      <c r="A8" s="1548"/>
      <c r="B8" s="1549"/>
      <c r="C8" s="1544"/>
      <c r="D8" s="1544"/>
      <c r="E8" s="1544" t="s">
        <v>327</v>
      </c>
      <c r="F8" s="1544"/>
      <c r="G8" s="1544" t="s">
        <v>328</v>
      </c>
      <c r="H8" s="1544"/>
      <c r="I8" s="1544"/>
      <c r="J8" s="1544"/>
      <c r="K8" s="1544"/>
      <c r="L8" s="1544"/>
    </row>
    <row r="9" spans="1:12" s="338" customFormat="1" ht="24.75" customHeight="1">
      <c r="A9" s="1550"/>
      <c r="B9" s="1551"/>
      <c r="C9" s="336" t="s">
        <v>329</v>
      </c>
      <c r="D9" s="336" t="s">
        <v>10</v>
      </c>
      <c r="E9" s="336" t="s">
        <v>3</v>
      </c>
      <c r="F9" s="336" t="s">
        <v>330</v>
      </c>
      <c r="G9" s="336" t="s">
        <v>3</v>
      </c>
      <c r="H9" s="336" t="s">
        <v>330</v>
      </c>
      <c r="I9" s="336" t="s">
        <v>3</v>
      </c>
      <c r="J9" s="336" t="s">
        <v>330</v>
      </c>
      <c r="K9" s="336" t="s">
        <v>3</v>
      </c>
      <c r="L9" s="336" t="s">
        <v>330</v>
      </c>
    </row>
    <row r="10" spans="1:12" s="340" customFormat="1" ht="15.75">
      <c r="A10" s="1448" t="s">
        <v>6</v>
      </c>
      <c r="B10" s="1449"/>
      <c r="C10" s="339">
        <v>1</v>
      </c>
      <c r="D10" s="339">
        <v>2</v>
      </c>
      <c r="E10" s="339">
        <v>3</v>
      </c>
      <c r="F10" s="339">
        <v>4</v>
      </c>
      <c r="G10" s="339">
        <v>5</v>
      </c>
      <c r="H10" s="339">
        <v>6</v>
      </c>
      <c r="I10" s="339">
        <v>7</v>
      </c>
      <c r="J10" s="339">
        <v>8</v>
      </c>
      <c r="K10" s="339">
        <v>9</v>
      </c>
      <c r="L10" s="339">
        <v>10</v>
      </c>
    </row>
    <row r="11" spans="1:12" s="340" customFormat="1" ht="30.75" customHeight="1">
      <c r="A11" s="1456" t="s">
        <v>405</v>
      </c>
      <c r="B11" s="1457"/>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461" t="s">
        <v>406</v>
      </c>
      <c r="B12" s="1462"/>
      <c r="C12" s="258">
        <v>0</v>
      </c>
      <c r="D12" s="258">
        <v>0</v>
      </c>
      <c r="E12" s="258">
        <v>0</v>
      </c>
      <c r="F12" s="258">
        <v>0</v>
      </c>
      <c r="G12" s="258">
        <v>0</v>
      </c>
      <c r="H12" s="258">
        <v>0</v>
      </c>
      <c r="I12" s="258">
        <v>0</v>
      </c>
      <c r="J12" s="258">
        <v>0</v>
      </c>
      <c r="K12" s="258">
        <v>0</v>
      </c>
      <c r="L12" s="258">
        <v>0</v>
      </c>
    </row>
    <row r="13" spans="1:32" s="340" customFormat="1" ht="17.25" customHeight="1">
      <c r="A13" s="1442" t="s">
        <v>36</v>
      </c>
      <c r="B13" s="1443"/>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97</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18</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459" t="s">
        <v>393</v>
      </c>
      <c r="C28" s="1459"/>
      <c r="D28" s="1459"/>
      <c r="E28" s="213"/>
      <c r="F28" s="267"/>
      <c r="G28" s="267"/>
      <c r="H28" s="1458" t="s">
        <v>393</v>
      </c>
      <c r="I28" s="1458"/>
      <c r="J28" s="1458"/>
      <c r="K28" s="1458"/>
      <c r="L28" s="1458"/>
      <c r="AG28" s="201" t="s">
        <v>394</v>
      </c>
      <c r="AI28" s="199">
        <f>82/88</f>
        <v>0.9318181818181818</v>
      </c>
    </row>
    <row r="29" spans="1:12" s="201" customFormat="1" ht="19.5" customHeight="1">
      <c r="A29" s="211"/>
      <c r="B29" s="1460" t="s">
        <v>331</v>
      </c>
      <c r="C29" s="1460"/>
      <c r="D29" s="1460"/>
      <c r="E29" s="213"/>
      <c r="F29" s="214"/>
      <c r="G29" s="214"/>
      <c r="H29" s="1463" t="s">
        <v>249</v>
      </c>
      <c r="I29" s="1463"/>
      <c r="J29" s="1463"/>
      <c r="K29" s="1463"/>
      <c r="L29" s="1463"/>
    </row>
    <row r="30" spans="1:12" s="205" customFormat="1" ht="15" customHeight="1">
      <c r="A30" s="211"/>
      <c r="B30" s="1545"/>
      <c r="C30" s="1545"/>
      <c r="D30" s="1545"/>
      <c r="E30" s="213"/>
      <c r="F30" s="214"/>
      <c r="G30" s="214"/>
      <c r="H30" s="1417"/>
      <c r="I30" s="1417"/>
      <c r="J30" s="1417"/>
      <c r="K30" s="1417"/>
      <c r="L30" s="141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543" t="s">
        <v>397</v>
      </c>
      <c r="C33" s="1543"/>
      <c r="D33" s="1543"/>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46</v>
      </c>
      <c r="B36" s="195"/>
      <c r="C36" s="195"/>
      <c r="D36" s="195"/>
      <c r="E36" s="195"/>
      <c r="F36" s="195"/>
      <c r="G36" s="195"/>
      <c r="H36" s="195"/>
      <c r="I36" s="195"/>
      <c r="J36" s="195"/>
      <c r="K36" s="347"/>
      <c r="L36" s="195"/>
    </row>
    <row r="37" spans="1:15" s="193" customFormat="1" ht="15" customHeight="1" hidden="1">
      <c r="A37" s="197"/>
      <c r="B37" s="1554" t="s">
        <v>332</v>
      </c>
      <c r="C37" s="1554"/>
      <c r="D37" s="1554"/>
      <c r="E37" s="1554"/>
      <c r="F37" s="1554"/>
      <c r="G37" s="1554"/>
      <c r="H37" s="1554"/>
      <c r="I37" s="1554"/>
      <c r="J37" s="1554"/>
      <c r="K37" s="348"/>
      <c r="L37" s="303"/>
      <c r="M37" s="274"/>
      <c r="N37" s="274"/>
      <c r="O37" s="274"/>
    </row>
    <row r="38" spans="2:12" s="193" customFormat="1" ht="18.75" hidden="1">
      <c r="B38" s="245" t="s">
        <v>333</v>
      </c>
      <c r="C38" s="195"/>
      <c r="D38" s="195"/>
      <c r="E38" s="195"/>
      <c r="F38" s="195"/>
      <c r="G38" s="195"/>
      <c r="H38" s="195"/>
      <c r="I38" s="195"/>
      <c r="J38" s="195"/>
      <c r="K38" s="347"/>
      <c r="L38" s="195"/>
    </row>
    <row r="39" spans="2:12" ht="18.75" hidden="1">
      <c r="B39" s="349" t="s">
        <v>334</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89" t="s">
        <v>439</v>
      </c>
      <c r="C41" s="1289"/>
      <c r="D41" s="1289"/>
      <c r="E41" s="219"/>
      <c r="F41" s="219"/>
      <c r="G41" s="191"/>
      <c r="H41" s="1290" t="s">
        <v>351</v>
      </c>
      <c r="I41" s="1290"/>
      <c r="J41" s="1290"/>
      <c r="K41" s="1290"/>
      <c r="L41" s="1290"/>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558" t="s">
        <v>481</v>
      </c>
      <c r="M1" s="1559"/>
      <c r="N1" s="1559"/>
      <c r="O1" s="374"/>
      <c r="P1" s="374"/>
      <c r="Q1" s="374"/>
      <c r="R1" s="374"/>
      <c r="S1" s="374"/>
      <c r="T1" s="374"/>
      <c r="U1" s="374"/>
      <c r="V1" s="374"/>
      <c r="W1" s="374"/>
      <c r="X1" s="374"/>
      <c r="Y1" s="375"/>
    </row>
    <row r="2" spans="11:17" ht="34.5" customHeight="1">
      <c r="K2" s="358"/>
      <c r="L2" s="1560" t="s">
        <v>488</v>
      </c>
      <c r="M2" s="1561"/>
      <c r="N2" s="1562"/>
      <c r="O2" s="38"/>
      <c r="P2" s="360"/>
      <c r="Q2" s="356"/>
    </row>
    <row r="3" spans="11:18" ht="31.5" customHeight="1">
      <c r="K3" s="358"/>
      <c r="L3" s="363" t="s">
        <v>497</v>
      </c>
      <c r="M3" s="364">
        <f>'06'!C11</f>
        <v>4125</v>
      </c>
      <c r="N3" s="364"/>
      <c r="O3" s="364"/>
      <c r="P3" s="361"/>
      <c r="Q3" s="357"/>
      <c r="R3" s="354"/>
    </row>
    <row r="4" spans="11:18" ht="30" customHeight="1">
      <c r="K4" s="358"/>
      <c r="L4" s="365" t="s">
        <v>482</v>
      </c>
      <c r="M4" s="366">
        <f>'06'!D11</f>
        <v>1580</v>
      </c>
      <c r="N4" s="364"/>
      <c r="O4" s="364"/>
      <c r="P4" s="361"/>
      <c r="Q4" s="357"/>
      <c r="R4" s="354"/>
    </row>
    <row r="5" spans="11:18" ht="31.5" customHeight="1">
      <c r="K5" s="358"/>
      <c r="L5" s="365" t="s">
        <v>483</v>
      </c>
      <c r="M5" s="366">
        <f>'06'!E11</f>
        <v>2545</v>
      </c>
      <c r="N5" s="364"/>
      <c r="O5" s="364"/>
      <c r="P5" s="361"/>
      <c r="Q5" s="357"/>
      <c r="R5" s="354"/>
    </row>
    <row r="6" spans="11:18" ht="27" customHeight="1">
      <c r="K6" s="358"/>
      <c r="L6" s="363" t="s">
        <v>484</v>
      </c>
      <c r="M6" s="364">
        <f>'06'!F11</f>
        <v>22</v>
      </c>
      <c r="N6" s="364"/>
      <c r="O6" s="364"/>
      <c r="P6" s="361"/>
      <c r="Q6" s="357"/>
      <c r="R6" s="354"/>
    </row>
    <row r="7" spans="11:18" s="351" customFormat="1" ht="30" customHeight="1">
      <c r="K7" s="359"/>
      <c r="L7" s="367" t="s">
        <v>509</v>
      </c>
      <c r="M7" s="364">
        <f>'06'!H11</f>
        <v>4103</v>
      </c>
      <c r="N7" s="364"/>
      <c r="O7" s="364"/>
      <c r="P7" s="361"/>
      <c r="Q7" s="357"/>
      <c r="R7" s="354"/>
    </row>
    <row r="8" spans="11:18" ht="30.75" customHeight="1">
      <c r="K8" s="358"/>
      <c r="L8" s="368" t="s">
        <v>508</v>
      </c>
      <c r="M8" s="369">
        <f>'[7]M6 Tong hop Viec CHV '!$C$12</f>
        <v>1489</v>
      </c>
      <c r="N8" s="364"/>
      <c r="O8" s="364"/>
      <c r="P8" s="361"/>
      <c r="Q8" s="357"/>
      <c r="R8" s="354"/>
    </row>
    <row r="9" spans="11:18" ht="33" customHeight="1">
      <c r="K9" s="358"/>
      <c r="L9" s="376" t="s">
        <v>511</v>
      </c>
      <c r="M9" s="377">
        <f>(M7-M8)/M8</f>
        <v>1.7555406312961719</v>
      </c>
      <c r="N9" s="364"/>
      <c r="O9" s="364"/>
      <c r="P9" s="361"/>
      <c r="Q9" s="357"/>
      <c r="R9" s="354"/>
    </row>
    <row r="10" spans="11:18" ht="33" customHeight="1">
      <c r="K10" s="358"/>
      <c r="L10" s="363" t="s">
        <v>510</v>
      </c>
      <c r="M10" s="364">
        <f>'06'!I11</f>
        <v>2812</v>
      </c>
      <c r="N10" s="364" t="s">
        <v>485</v>
      </c>
      <c r="O10" s="370">
        <f>M10/M7</f>
        <v>0.6853521813307336</v>
      </c>
      <c r="P10" s="361"/>
      <c r="Q10" s="357"/>
      <c r="R10" s="354"/>
    </row>
    <row r="11" spans="11:18" ht="22.5" customHeight="1">
      <c r="K11" s="358"/>
      <c r="L11" s="363" t="s">
        <v>512</v>
      </c>
      <c r="M11" s="364">
        <f>'06'!Q11</f>
        <v>1291</v>
      </c>
      <c r="N11" s="364" t="s">
        <v>485</v>
      </c>
      <c r="O11" s="370">
        <f>M11/M7</f>
        <v>0.3146478186692664</v>
      </c>
      <c r="P11" s="361"/>
      <c r="Q11" s="357"/>
      <c r="R11" s="354"/>
    </row>
    <row r="12" spans="11:18" ht="34.5" customHeight="1">
      <c r="K12" s="358"/>
      <c r="L12" s="363" t="s">
        <v>513</v>
      </c>
      <c r="M12" s="364">
        <f>'06'!J11+'06'!K11</f>
        <v>2298</v>
      </c>
      <c r="N12" s="363"/>
      <c r="O12" s="363"/>
      <c r="P12" s="355"/>
      <c r="R12" s="355"/>
    </row>
    <row r="13" spans="11:18" ht="33.75" customHeight="1">
      <c r="K13" s="358"/>
      <c r="L13" s="363" t="s">
        <v>514</v>
      </c>
      <c r="M13" s="370">
        <f>M12/M7</f>
        <v>0.5600779917133805</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515</v>
      </c>
      <c r="M16" s="369">
        <f>'[7]M6 Tong hop Viec CHV '!$H$12+'[7]M6 Tong hop Viec CHV '!$I$12+'[7]M6 Tong hop Viec CHV '!$K$12</f>
        <v>749</v>
      </c>
      <c r="N16" s="364"/>
      <c r="O16" s="364"/>
      <c r="P16" s="361"/>
      <c r="R16" s="355"/>
    </row>
    <row r="17" spans="11:18" ht="24.75" customHeight="1">
      <c r="K17" s="358"/>
      <c r="L17" s="376" t="s">
        <v>516</v>
      </c>
      <c r="M17" s="371">
        <f>M16/M8</f>
        <v>0.5030221625251847</v>
      </c>
      <c r="N17" s="364"/>
      <c r="O17" s="364"/>
      <c r="P17" s="361"/>
      <c r="R17" s="355"/>
    </row>
    <row r="18" spans="11:18" ht="26.25" customHeight="1">
      <c r="K18" s="358"/>
      <c r="L18" s="376" t="s">
        <v>486</v>
      </c>
      <c r="M18" s="377">
        <f>M13-M17</f>
        <v>0.05705582918819574</v>
      </c>
      <c r="N18" s="364"/>
      <c r="O18" s="364"/>
      <c r="P18" s="361"/>
      <c r="R18" s="355"/>
    </row>
    <row r="19" spans="11:18" ht="24.75" customHeight="1">
      <c r="K19" s="358"/>
      <c r="L19" s="363" t="s">
        <v>517</v>
      </c>
      <c r="M19" s="364">
        <f>'06'!J11</f>
        <v>2261</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518</v>
      </c>
      <c r="M26" s="370">
        <f>M19/'06'!I11</f>
        <v>0.8040540540540541</v>
      </c>
      <c r="N26" s="364"/>
      <c r="O26" s="364"/>
      <c r="P26" s="361"/>
      <c r="R26" s="355"/>
    </row>
    <row r="27" spans="11:18" ht="24.75" customHeight="1">
      <c r="K27" s="358"/>
      <c r="L27" s="368" t="s">
        <v>519</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520</v>
      </c>
      <c r="M30" s="370">
        <f>M26-M27</f>
        <v>0.1313921835504569</v>
      </c>
      <c r="N30" s="364"/>
      <c r="O30" s="364"/>
      <c r="P30" s="361"/>
      <c r="R30" s="355"/>
    </row>
    <row r="31" spans="11:18" ht="24.75" customHeight="1">
      <c r="K31" s="358"/>
      <c r="L31" s="363" t="s">
        <v>521</v>
      </c>
      <c r="M31" s="364">
        <f>'06'!R11</f>
        <v>1805</v>
      </c>
      <c r="N31" s="364"/>
      <c r="O31" s="364"/>
      <c r="P31" s="361"/>
      <c r="R31" s="355"/>
    </row>
    <row r="32" spans="11:18" ht="24.75" customHeight="1">
      <c r="K32" s="358"/>
      <c r="L32" s="368" t="s">
        <v>522</v>
      </c>
      <c r="M32" s="369">
        <f>'[7]M6 Tong hop Viec CHV '!$R$12</f>
        <v>719</v>
      </c>
      <c r="N32" s="364"/>
      <c r="O32" s="364"/>
      <c r="P32" s="361"/>
      <c r="R32" s="355"/>
    </row>
    <row r="33" spans="11:18" ht="24.75" customHeight="1">
      <c r="K33" s="358"/>
      <c r="L33" s="376" t="s">
        <v>523</v>
      </c>
      <c r="M33" s="378">
        <f>M31-M32</f>
        <v>1086</v>
      </c>
      <c r="N33" s="378" t="s">
        <v>487</v>
      </c>
      <c r="O33" s="377">
        <f>(M31-M32)/M32</f>
        <v>1.5104311543810849</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524</v>
      </c>
      <c r="M42" s="364">
        <f>'07'!C11</f>
        <v>117372735</v>
      </c>
      <c r="N42" s="364"/>
      <c r="O42" s="364"/>
      <c r="P42" s="355"/>
      <c r="R42" s="355"/>
    </row>
    <row r="43" spans="11:18" ht="24.75" customHeight="1">
      <c r="K43" s="358"/>
      <c r="L43" s="372" t="s">
        <v>131</v>
      </c>
      <c r="M43" s="364">
        <f>'07'!D11</f>
        <v>95712620</v>
      </c>
      <c r="N43" s="364"/>
      <c r="O43" s="364"/>
      <c r="P43" s="355"/>
      <c r="R43" s="355"/>
    </row>
    <row r="44" spans="11:18" ht="24.75" customHeight="1">
      <c r="K44" s="358"/>
      <c r="L44" s="372" t="s">
        <v>483</v>
      </c>
      <c r="M44" s="364">
        <f>'07'!E11</f>
        <v>21660115</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525</v>
      </c>
      <c r="M47" s="364">
        <f>'07'!F11</f>
        <v>7844406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526</v>
      </c>
      <c r="M50" s="364">
        <f>'07'!H11</f>
        <v>109528329</v>
      </c>
      <c r="N50" s="364"/>
      <c r="O50" s="364"/>
      <c r="P50" s="355"/>
      <c r="R50" s="355"/>
    </row>
    <row r="51" spans="11:18" ht="24.75" customHeight="1">
      <c r="K51" s="358"/>
      <c r="L51" s="373" t="s">
        <v>527</v>
      </c>
      <c r="M51" s="369">
        <f>'[7]M7 Thop tien CHV'!$C$12</f>
        <v>54227822.442</v>
      </c>
      <c r="N51" s="364"/>
      <c r="O51" s="364"/>
      <c r="P51" s="355"/>
      <c r="R51" s="355"/>
    </row>
    <row r="52" spans="11:18" ht="24.75" customHeight="1">
      <c r="K52" s="358"/>
      <c r="L52" s="386" t="s">
        <v>490</v>
      </c>
      <c r="M52" s="378">
        <f>M50-M51</f>
        <v>55300506.558</v>
      </c>
      <c r="N52" s="364"/>
      <c r="O52" s="364"/>
      <c r="P52" s="355"/>
      <c r="R52" s="355"/>
    </row>
    <row r="53" spans="11:18" ht="24.75" customHeight="1">
      <c r="K53" s="358"/>
      <c r="L53" s="386" t="s">
        <v>491</v>
      </c>
      <c r="M53" s="377">
        <f>(M52/M51)</f>
        <v>1.0197810656540247</v>
      </c>
      <c r="N53" s="364"/>
      <c r="O53" s="364"/>
      <c r="P53" s="355"/>
      <c r="R53" s="355"/>
    </row>
    <row r="54" spans="11:18" ht="24.75" customHeight="1">
      <c r="K54" s="358"/>
      <c r="L54" s="372" t="s">
        <v>528</v>
      </c>
      <c r="M54" s="364">
        <f>'07'!I11</f>
        <v>46472020</v>
      </c>
      <c r="N54" s="364" t="s">
        <v>492</v>
      </c>
      <c r="O54" s="370">
        <f>'07'!I11/'07'!H11</f>
        <v>0.4242922394990615</v>
      </c>
      <c r="P54" s="355"/>
      <c r="R54" s="355"/>
    </row>
    <row r="55" spans="11:18" ht="24.75" customHeight="1">
      <c r="K55" s="358"/>
      <c r="L55" s="372" t="s">
        <v>529</v>
      </c>
      <c r="M55" s="364">
        <f>'07'!R11</f>
        <v>63056309</v>
      </c>
      <c r="N55" s="364" t="s">
        <v>492</v>
      </c>
      <c r="O55" s="370">
        <f>'07'!R11/'07'!H11</f>
        <v>0.5757077605009385</v>
      </c>
      <c r="P55" s="355"/>
      <c r="R55" s="355"/>
    </row>
    <row r="56" spans="11:18" ht="24.75" customHeight="1">
      <c r="K56" s="358"/>
      <c r="L56" s="372" t="s">
        <v>530</v>
      </c>
      <c r="M56" s="364">
        <f>'07'!J11+'07'!K11+'07'!L11</f>
        <v>11703671</v>
      </c>
      <c r="N56" s="364" t="s">
        <v>492</v>
      </c>
      <c r="O56" s="370">
        <f>M56/'07'!H11</f>
        <v>0.10685519542619883</v>
      </c>
      <c r="P56" s="355"/>
      <c r="R56" s="355"/>
    </row>
    <row r="57" spans="11:18" ht="24.75" customHeight="1">
      <c r="K57" s="358"/>
      <c r="L57" s="373" t="s">
        <v>531</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532</v>
      </c>
      <c r="M60" s="377">
        <f>O56-O57</f>
        <v>0.06595872567818349</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533</v>
      </c>
      <c r="M63" s="364">
        <f>'07'!J11</f>
        <v>9706060</v>
      </c>
      <c r="N63" s="364" t="s">
        <v>493</v>
      </c>
      <c r="O63" s="370">
        <f>'07'!J11/'07'!I11</f>
        <v>0.20885814733252395</v>
      </c>
      <c r="P63" s="355"/>
      <c r="R63" s="355"/>
    </row>
    <row r="64" spans="11:16" ht="24.75" customHeight="1">
      <c r="K64" s="358"/>
      <c r="L64" s="373" t="s">
        <v>534</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535</v>
      </c>
      <c r="M68" s="377">
        <f>O63-O64</f>
        <v>0.19461464601271028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536</v>
      </c>
      <c r="M72" s="364">
        <f>'07'!S11</f>
        <v>97824658</v>
      </c>
      <c r="N72" s="364"/>
      <c r="O72" s="364"/>
      <c r="P72" s="355"/>
    </row>
    <row r="73" spans="11:16" ht="24.75" customHeight="1">
      <c r="K73" s="358"/>
      <c r="L73" s="373" t="s">
        <v>537</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49697847.638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1.0326437024224746</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563" t="s">
        <v>566</v>
      </c>
      <c r="B2" s="1563"/>
    </row>
    <row r="3" spans="1:2" ht="22.5" customHeight="1">
      <c r="A3" s="512" t="s">
        <v>541</v>
      </c>
      <c r="B3" s="513" t="s">
        <v>805</v>
      </c>
    </row>
    <row r="4" spans="1:2" ht="22.5" customHeight="1">
      <c r="A4" s="512" t="s">
        <v>539</v>
      </c>
      <c r="B4" s="513" t="s">
        <v>726</v>
      </c>
    </row>
    <row r="5" spans="1:2" ht="22.5" customHeight="1">
      <c r="A5" s="512" t="s">
        <v>542</v>
      </c>
      <c r="B5" s="859" t="s">
        <v>729</v>
      </c>
    </row>
    <row r="6" spans="1:2" ht="22.5" customHeight="1">
      <c r="A6" s="512" t="s">
        <v>543</v>
      </c>
      <c r="B6" s="558" t="s">
        <v>716</v>
      </c>
    </row>
    <row r="7" spans="1:2" ht="22.5" customHeight="1">
      <c r="A7" s="512" t="s">
        <v>544</v>
      </c>
      <c r="B7" s="558" t="s">
        <v>504</v>
      </c>
    </row>
    <row r="8" spans="1:2" ht="15.75">
      <c r="A8" s="514" t="s">
        <v>545</v>
      </c>
      <c r="B8" s="860" t="s">
        <v>806</v>
      </c>
    </row>
    <row r="10" spans="1:2" ht="62.25" customHeight="1">
      <c r="A10" s="1564" t="s">
        <v>643</v>
      </c>
      <c r="B10" s="1564"/>
    </row>
    <row r="11" spans="1:2" ht="15.75">
      <c r="A11" s="1565" t="s">
        <v>565</v>
      </c>
      <c r="B11" s="156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S218"/>
  <sheetViews>
    <sheetView showZeros="0" zoomScale="85" zoomScaleNormal="85" zoomScaleSheetLayoutView="85" zoomScalePageLayoutView="0" workbookViewId="0" topLeftCell="A1">
      <selection activeCell="E18" sqref="E18"/>
    </sheetView>
  </sheetViews>
  <sheetFormatPr defaultColWidth="9.00390625" defaultRowHeight="15.75"/>
  <cols>
    <col min="1" max="1" width="4.125" style="435" customWidth="1"/>
    <col min="2" max="2" width="23.25390625" style="388" customWidth="1"/>
    <col min="3" max="3" width="11.75390625" style="388" customWidth="1"/>
    <col min="4" max="4" width="9.625" style="388" customWidth="1"/>
    <col min="5" max="5" width="9.50390625" style="388" customWidth="1"/>
    <col min="6" max="6" width="10.125" style="388" customWidth="1"/>
    <col min="7" max="7" width="9.25390625" style="388" customWidth="1"/>
    <col min="8" max="8" width="9.50390625" style="388" bestFit="1" customWidth="1"/>
    <col min="9" max="9" width="9.875" style="388" customWidth="1"/>
    <col min="10" max="10" width="8.875" style="388" customWidth="1"/>
    <col min="11" max="11" width="8.625" style="388" customWidth="1"/>
    <col min="12" max="12" width="6.00390625" style="388" customWidth="1"/>
    <col min="13" max="13" width="6.875" style="388" customWidth="1"/>
    <col min="14" max="14" width="7.875" style="388" customWidth="1"/>
    <col min="15" max="16384" width="9.00390625" style="388" customWidth="1"/>
  </cols>
  <sheetData>
    <row r="1" spans="1:19" ht="19.5" customHeight="1">
      <c r="A1" s="1597" t="s">
        <v>28</v>
      </c>
      <c r="B1" s="1597"/>
      <c r="C1" s="415"/>
      <c r="D1" s="1598" t="s">
        <v>81</v>
      </c>
      <c r="E1" s="1598"/>
      <c r="F1" s="1598"/>
      <c r="G1" s="1598"/>
      <c r="H1" s="1598"/>
      <c r="I1" s="1598"/>
      <c r="J1" s="1598"/>
      <c r="K1" s="1598"/>
      <c r="L1" s="1589" t="s">
        <v>540</v>
      </c>
      <c r="M1" s="1589"/>
      <c r="N1" s="1589"/>
      <c r="S1" s="794"/>
    </row>
    <row r="2" spans="1:16" ht="16.5" customHeight="1">
      <c r="A2" s="417" t="s">
        <v>342</v>
      </c>
      <c r="B2" s="417"/>
      <c r="C2" s="417"/>
      <c r="D2" s="1598" t="s">
        <v>117</v>
      </c>
      <c r="E2" s="1598"/>
      <c r="F2" s="1598"/>
      <c r="G2" s="1598"/>
      <c r="H2" s="1598"/>
      <c r="I2" s="1598"/>
      <c r="J2" s="1598"/>
      <c r="K2" s="1598"/>
      <c r="L2" s="1590" t="str">
        <f>'Thong tin'!B4</f>
        <v>Cục THADS tỉnh Tuyên Quang</v>
      </c>
      <c r="M2" s="1590"/>
      <c r="N2" s="1590"/>
      <c r="P2" s="389"/>
    </row>
    <row r="3" spans="1:16" ht="16.5" customHeight="1">
      <c r="A3" s="417" t="s">
        <v>343</v>
      </c>
      <c r="B3" s="417"/>
      <c r="C3" s="414"/>
      <c r="D3" s="1592" t="str">
        <f>'Thong tin'!B3</f>
        <v>06 tháng / năm 2018</v>
      </c>
      <c r="E3" s="1592"/>
      <c r="F3" s="1592"/>
      <c r="G3" s="1592"/>
      <c r="H3" s="1592"/>
      <c r="I3" s="1592"/>
      <c r="J3" s="1592"/>
      <c r="K3" s="1592"/>
      <c r="L3" s="1589" t="s">
        <v>507</v>
      </c>
      <c r="M3" s="1589"/>
      <c r="N3" s="1589"/>
      <c r="P3" s="390"/>
    </row>
    <row r="4" spans="1:16" ht="16.5" customHeight="1">
      <c r="A4" s="418" t="s">
        <v>118</v>
      </c>
      <c r="B4" s="419"/>
      <c r="C4" s="420"/>
      <c r="D4" s="421"/>
      <c r="E4" s="421"/>
      <c r="F4" s="420"/>
      <c r="G4" s="422"/>
      <c r="H4" s="422"/>
      <c r="I4" s="422"/>
      <c r="J4" s="420"/>
      <c r="K4" s="421"/>
      <c r="L4" s="1590" t="s">
        <v>410</v>
      </c>
      <c r="M4" s="1590"/>
      <c r="N4" s="1590"/>
      <c r="P4" s="390"/>
    </row>
    <row r="5" spans="1:16" ht="16.5" customHeight="1">
      <c r="A5" s="423"/>
      <c r="B5" s="420"/>
      <c r="C5" s="420"/>
      <c r="D5" s="420"/>
      <c r="E5" s="420"/>
      <c r="F5" s="424"/>
      <c r="G5" s="425"/>
      <c r="H5" s="425"/>
      <c r="I5" s="425"/>
      <c r="J5" s="424"/>
      <c r="K5" s="426"/>
      <c r="L5" s="1591" t="s">
        <v>8</v>
      </c>
      <c r="M5" s="1591"/>
      <c r="N5" s="1591"/>
      <c r="P5" s="390"/>
    </row>
    <row r="6" spans="1:16" ht="18.75" customHeight="1">
      <c r="A6" s="1573" t="s">
        <v>799</v>
      </c>
      <c r="B6" s="1574"/>
      <c r="C6" s="1582" t="s">
        <v>37</v>
      </c>
      <c r="D6" s="1582" t="s">
        <v>335</v>
      </c>
      <c r="E6" s="1583"/>
      <c r="F6" s="1583"/>
      <c r="G6" s="1583"/>
      <c r="H6" s="1583"/>
      <c r="I6" s="1583"/>
      <c r="J6" s="1583"/>
      <c r="K6" s="1583"/>
      <c r="L6" s="1583"/>
      <c r="M6" s="1583"/>
      <c r="N6" s="1584"/>
      <c r="P6" s="390"/>
    </row>
    <row r="7" spans="1:16" ht="20.25" customHeight="1">
      <c r="A7" s="1575"/>
      <c r="B7" s="1576"/>
      <c r="C7" s="1596"/>
      <c r="D7" s="1586" t="s">
        <v>119</v>
      </c>
      <c r="E7" s="1593" t="s">
        <v>120</v>
      </c>
      <c r="F7" s="1594"/>
      <c r="G7" s="1595"/>
      <c r="H7" s="1569" t="s">
        <v>121</v>
      </c>
      <c r="I7" s="1569" t="s">
        <v>122</v>
      </c>
      <c r="J7" s="1569" t="s">
        <v>123</v>
      </c>
      <c r="K7" s="1569" t="s">
        <v>124</v>
      </c>
      <c r="L7" s="1569" t="s">
        <v>125</v>
      </c>
      <c r="M7" s="1569" t="s">
        <v>126</v>
      </c>
      <c r="N7" s="1569" t="s">
        <v>127</v>
      </c>
      <c r="O7" s="390"/>
      <c r="P7" s="390"/>
    </row>
    <row r="8" spans="1:16" ht="21" customHeight="1">
      <c r="A8" s="1575"/>
      <c r="B8" s="1576"/>
      <c r="C8" s="1596"/>
      <c r="D8" s="1586"/>
      <c r="E8" s="1568" t="s">
        <v>36</v>
      </c>
      <c r="F8" s="1571" t="s">
        <v>7</v>
      </c>
      <c r="G8" s="1572"/>
      <c r="H8" s="1569"/>
      <c r="I8" s="1569"/>
      <c r="J8" s="1569"/>
      <c r="K8" s="1569"/>
      <c r="L8" s="1569"/>
      <c r="M8" s="1569"/>
      <c r="N8" s="1569"/>
      <c r="O8" s="1599"/>
      <c r="P8" s="1599"/>
    </row>
    <row r="9" spans="1:16" ht="24.75" customHeight="1">
      <c r="A9" s="1577"/>
      <c r="B9" s="1578"/>
      <c r="C9" s="1596"/>
      <c r="D9" s="1587"/>
      <c r="E9" s="1570"/>
      <c r="F9" s="559" t="s">
        <v>199</v>
      </c>
      <c r="G9" s="560" t="s">
        <v>200</v>
      </c>
      <c r="H9" s="1570"/>
      <c r="I9" s="1570"/>
      <c r="J9" s="1570"/>
      <c r="K9" s="1570"/>
      <c r="L9" s="1570"/>
      <c r="M9" s="1570"/>
      <c r="N9" s="1570"/>
      <c r="O9" s="391"/>
      <c r="P9" s="391"/>
    </row>
    <row r="10" spans="1:16" s="393" customFormat="1" ht="18.75" customHeight="1">
      <c r="A10" s="1566" t="s">
        <v>39</v>
      </c>
      <c r="B10" s="1567"/>
      <c r="C10" s="505">
        <v>1</v>
      </c>
      <c r="D10" s="505">
        <v>2</v>
      </c>
      <c r="E10" s="505">
        <v>3</v>
      </c>
      <c r="F10" s="505">
        <v>4</v>
      </c>
      <c r="G10" s="505">
        <v>5</v>
      </c>
      <c r="H10" s="505">
        <v>6</v>
      </c>
      <c r="I10" s="505">
        <v>7</v>
      </c>
      <c r="J10" s="505">
        <v>8</v>
      </c>
      <c r="K10" s="505">
        <v>9</v>
      </c>
      <c r="L10" s="505">
        <v>10</v>
      </c>
      <c r="M10" s="505">
        <v>11</v>
      </c>
      <c r="N10" s="505">
        <v>12</v>
      </c>
      <c r="O10" s="392"/>
      <c r="P10" s="392"/>
    </row>
    <row r="11" spans="1:17" ht="22.5" customHeight="1">
      <c r="A11" s="506" t="s">
        <v>0</v>
      </c>
      <c r="B11" s="427" t="s">
        <v>130</v>
      </c>
      <c r="C11" s="1140">
        <f aca="true" t="shared" si="0" ref="C11:C16">SUM(D11,E11,H11:N11)</f>
        <v>3225</v>
      </c>
      <c r="D11" s="1142">
        <f aca="true" t="shared" si="1" ref="D11:N11">SUM(D12:D13)</f>
        <v>442</v>
      </c>
      <c r="E11" s="1142">
        <f t="shared" si="1"/>
        <v>1339</v>
      </c>
      <c r="F11" s="1142">
        <f t="shared" si="1"/>
        <v>198</v>
      </c>
      <c r="G11" s="1142">
        <f t="shared" si="1"/>
        <v>1141</v>
      </c>
      <c r="H11" s="1142">
        <f t="shared" si="1"/>
        <v>7</v>
      </c>
      <c r="I11" s="1142">
        <f t="shared" si="1"/>
        <v>1193</v>
      </c>
      <c r="J11" s="1142">
        <f t="shared" si="1"/>
        <v>14</v>
      </c>
      <c r="K11" s="1142">
        <f t="shared" si="1"/>
        <v>2</v>
      </c>
      <c r="L11" s="1142">
        <f t="shared" si="1"/>
        <v>0</v>
      </c>
      <c r="M11" s="1142">
        <f t="shared" si="1"/>
        <v>0</v>
      </c>
      <c r="N11" s="1142">
        <f t="shared" si="1"/>
        <v>228</v>
      </c>
      <c r="O11" s="390"/>
      <c r="P11" s="390"/>
      <c r="Q11" s="428"/>
    </row>
    <row r="12" spans="1:16" ht="22.5" customHeight="1">
      <c r="A12" s="507">
        <v>1</v>
      </c>
      <c r="B12" s="429" t="s">
        <v>131</v>
      </c>
      <c r="C12" s="1146">
        <f t="shared" si="0"/>
        <v>965</v>
      </c>
      <c r="D12" s="1147">
        <f>D41+D64+D87+D110+D133+D156+D180+D204</f>
        <v>183</v>
      </c>
      <c r="E12" s="1148">
        <f>SUM(F12:G12)</f>
        <v>741</v>
      </c>
      <c r="F12" s="1147">
        <f>F41+F64+F87+F110+F133+F156+F180+F204</f>
        <v>105</v>
      </c>
      <c r="G12" s="1147">
        <f aca="true" t="shared" si="2" ref="G12:N12">G41+G64+G87+G110+G133+G156+G180+G204</f>
        <v>636</v>
      </c>
      <c r="H12" s="1147">
        <f t="shared" si="2"/>
        <v>0</v>
      </c>
      <c r="I12" s="1147">
        <f t="shared" si="2"/>
        <v>33</v>
      </c>
      <c r="J12" s="1147">
        <f t="shared" si="2"/>
        <v>4</v>
      </c>
      <c r="K12" s="1147">
        <f t="shared" si="2"/>
        <v>2</v>
      </c>
      <c r="L12" s="1147">
        <f t="shared" si="2"/>
        <v>0</v>
      </c>
      <c r="M12" s="1147">
        <f t="shared" si="2"/>
        <v>0</v>
      </c>
      <c r="N12" s="1147">
        <f t="shared" si="2"/>
        <v>2</v>
      </c>
      <c r="O12" s="390"/>
      <c r="P12" s="390"/>
    </row>
    <row r="13" spans="1:16" ht="22.5" customHeight="1">
      <c r="A13" s="507">
        <v>2</v>
      </c>
      <c r="B13" s="429" t="s">
        <v>132</v>
      </c>
      <c r="C13" s="1146">
        <f t="shared" si="0"/>
        <v>2260</v>
      </c>
      <c r="D13" s="1147">
        <f>D42+D65+D88+D111+D134+D157+D181+D205</f>
        <v>259</v>
      </c>
      <c r="E13" s="1148">
        <f>SUM(F13:G13)</f>
        <v>598</v>
      </c>
      <c r="F13" s="1147">
        <f aca="true" t="shared" si="3" ref="F13:N14">F42+F65+F88+F111+F134+F157+F181+F205</f>
        <v>93</v>
      </c>
      <c r="G13" s="1147">
        <f t="shared" si="3"/>
        <v>505</v>
      </c>
      <c r="H13" s="1147">
        <f t="shared" si="3"/>
        <v>7</v>
      </c>
      <c r="I13" s="1147">
        <f t="shared" si="3"/>
        <v>1160</v>
      </c>
      <c r="J13" s="1147">
        <f t="shared" si="3"/>
        <v>10</v>
      </c>
      <c r="K13" s="1147">
        <f t="shared" si="3"/>
        <v>0</v>
      </c>
      <c r="L13" s="1147">
        <f t="shared" si="3"/>
        <v>0</v>
      </c>
      <c r="M13" s="1147">
        <f t="shared" si="3"/>
        <v>0</v>
      </c>
      <c r="N13" s="1147">
        <f t="shared" si="3"/>
        <v>226</v>
      </c>
      <c r="O13" s="390"/>
      <c r="P13" s="390"/>
    </row>
    <row r="14" spans="1:16" ht="22.5" customHeight="1">
      <c r="A14" s="508" t="s">
        <v>1</v>
      </c>
      <c r="B14" s="394" t="s">
        <v>133</v>
      </c>
      <c r="C14" s="1146">
        <f t="shared" si="0"/>
        <v>15</v>
      </c>
      <c r="D14" s="1149">
        <f>D43+D66+D89+D112+D135+D158+D182+D206</f>
        <v>2</v>
      </c>
      <c r="E14" s="1139">
        <f>SUM(F14:G14)</f>
        <v>13</v>
      </c>
      <c r="F14" s="1149">
        <f t="shared" si="3"/>
        <v>3</v>
      </c>
      <c r="G14" s="1149">
        <f t="shared" si="3"/>
        <v>10</v>
      </c>
      <c r="H14" s="1149">
        <f t="shared" si="3"/>
        <v>0</v>
      </c>
      <c r="I14" s="1149">
        <f t="shared" si="3"/>
        <v>0</v>
      </c>
      <c r="J14" s="1149">
        <f t="shared" si="3"/>
        <v>0</v>
      </c>
      <c r="K14" s="1149">
        <f t="shared" si="3"/>
        <v>0</v>
      </c>
      <c r="L14" s="1149">
        <f t="shared" si="3"/>
        <v>0</v>
      </c>
      <c r="M14" s="1149">
        <f t="shared" si="3"/>
        <v>0</v>
      </c>
      <c r="N14" s="1149">
        <f t="shared" si="3"/>
        <v>0</v>
      </c>
      <c r="O14" s="390"/>
      <c r="P14" s="390"/>
    </row>
    <row r="15" spans="1:16" ht="22.5" customHeight="1">
      <c r="A15" s="508" t="s">
        <v>9</v>
      </c>
      <c r="B15" s="394" t="s">
        <v>134</v>
      </c>
      <c r="C15" s="1146">
        <f t="shared" si="0"/>
        <v>0</v>
      </c>
      <c r="D15" s="1149"/>
      <c r="E15" s="1139">
        <f>SUM(F15:G15)</f>
        <v>0</v>
      </c>
      <c r="F15" s="820"/>
      <c r="G15" s="820"/>
      <c r="H15" s="820"/>
      <c r="I15" s="820"/>
      <c r="J15" s="820"/>
      <c r="K15" s="820"/>
      <c r="L15" s="820"/>
      <c r="M15" s="820"/>
      <c r="N15" s="820"/>
      <c r="O15" s="390"/>
      <c r="P15" s="390"/>
    </row>
    <row r="16" spans="1:15" ht="22.5" customHeight="1">
      <c r="A16" s="508" t="s">
        <v>135</v>
      </c>
      <c r="B16" s="394" t="s">
        <v>136</v>
      </c>
      <c r="C16" s="1140">
        <f t="shared" si="0"/>
        <v>3210</v>
      </c>
      <c r="D16" s="1142">
        <f>D11-SUM(D14,D15)</f>
        <v>440</v>
      </c>
      <c r="E16" s="1142">
        <f>E11-SUM(E14,E15)</f>
        <v>1326</v>
      </c>
      <c r="F16" s="1142">
        <f aca="true" t="shared" si="4" ref="F16:M16">F11-SUM(F14,F15)</f>
        <v>195</v>
      </c>
      <c r="G16" s="1142">
        <f t="shared" si="4"/>
        <v>1131</v>
      </c>
      <c r="H16" s="1142">
        <f t="shared" si="4"/>
        <v>7</v>
      </c>
      <c r="I16" s="1142">
        <f t="shared" si="4"/>
        <v>1193</v>
      </c>
      <c r="J16" s="1142">
        <f t="shared" si="4"/>
        <v>14</v>
      </c>
      <c r="K16" s="1142">
        <f t="shared" si="4"/>
        <v>2</v>
      </c>
      <c r="L16" s="1142">
        <f t="shared" si="4"/>
        <v>0</v>
      </c>
      <c r="M16" s="1142">
        <f t="shared" si="4"/>
        <v>0</v>
      </c>
      <c r="N16" s="1142">
        <f>N11-SUM(N14,N15)</f>
        <v>228</v>
      </c>
      <c r="O16" s="390"/>
    </row>
    <row r="17" spans="1:15" ht="22.5" customHeight="1">
      <c r="A17" s="508" t="s">
        <v>51</v>
      </c>
      <c r="B17" s="430" t="s">
        <v>137</v>
      </c>
      <c r="C17" s="1140">
        <f>C18+C19+C20+C21+C22+C23+C24</f>
        <v>2386</v>
      </c>
      <c r="D17" s="1140">
        <f>D18+D19+D20+D21+D22+D23+D24</f>
        <v>305</v>
      </c>
      <c r="E17" s="1140">
        <f>F17+G17</f>
        <v>664</v>
      </c>
      <c r="F17" s="1140">
        <f aca="true" t="shared" si="5" ref="F17:M17">F18+F19+F20+F21+F22+F23+F24</f>
        <v>97</v>
      </c>
      <c r="G17" s="1140">
        <f t="shared" si="5"/>
        <v>567</v>
      </c>
      <c r="H17" s="1140">
        <f t="shared" si="5"/>
        <v>7</v>
      </c>
      <c r="I17" s="1140">
        <f t="shared" si="5"/>
        <v>1172</v>
      </c>
      <c r="J17" s="1140">
        <f t="shared" si="5"/>
        <v>10</v>
      </c>
      <c r="K17" s="1140">
        <f t="shared" si="5"/>
        <v>0</v>
      </c>
      <c r="L17" s="1140">
        <f t="shared" si="5"/>
        <v>0</v>
      </c>
      <c r="M17" s="1140">
        <f t="shared" si="5"/>
        <v>0</v>
      </c>
      <c r="N17" s="1140">
        <f>N18+N19+N20+N21+N22+N23+N24</f>
        <v>228</v>
      </c>
      <c r="O17" s="390"/>
    </row>
    <row r="18" spans="1:15" ht="22.5" customHeight="1">
      <c r="A18" s="507" t="s">
        <v>53</v>
      </c>
      <c r="B18" s="429" t="s">
        <v>138</v>
      </c>
      <c r="C18" s="1150">
        <f aca="true" t="shared" si="6" ref="C18:C24">SUM(D18,E18,H18:N18)</f>
        <v>2145</v>
      </c>
      <c r="D18" s="1147">
        <f>D47+D70+D93+D116+D139+D162+D186+D210</f>
        <v>222</v>
      </c>
      <c r="E18" s="1148">
        <f aca="true" t="shared" si="7" ref="E18:E24">SUM(F18:G18)</f>
        <v>550</v>
      </c>
      <c r="F18" s="1147">
        <f>F47+F70+F93+F116+F139+F162+F186+F210</f>
        <v>79</v>
      </c>
      <c r="G18" s="1147">
        <f aca="true" t="shared" si="8" ref="G18:N18">G47+G70+G93+G116+G139+G162+G186+G210</f>
        <v>471</v>
      </c>
      <c r="H18" s="1147">
        <f t="shared" si="8"/>
        <v>6</v>
      </c>
      <c r="I18" s="1147">
        <f t="shared" si="8"/>
        <v>1138</v>
      </c>
      <c r="J18" s="1147">
        <f t="shared" si="8"/>
        <v>8</v>
      </c>
      <c r="K18" s="1147">
        <f t="shared" si="8"/>
        <v>0</v>
      </c>
      <c r="L18" s="1147">
        <f t="shared" si="8"/>
        <v>0</v>
      </c>
      <c r="M18" s="1147">
        <f t="shared" si="8"/>
        <v>0</v>
      </c>
      <c r="N18" s="1147">
        <f t="shared" si="8"/>
        <v>221</v>
      </c>
      <c r="O18" s="390"/>
    </row>
    <row r="19" spans="1:15" ht="20.25" customHeight="1">
      <c r="A19" s="507" t="s">
        <v>54</v>
      </c>
      <c r="B19" s="429" t="s">
        <v>139</v>
      </c>
      <c r="C19" s="1150">
        <f t="shared" si="6"/>
        <v>27</v>
      </c>
      <c r="D19" s="1147">
        <f aca="true" t="shared" si="9" ref="D19:D24">D48+D71+D94+D117+D140+D163+D187+D211</f>
        <v>3</v>
      </c>
      <c r="E19" s="1148">
        <f t="shared" si="7"/>
        <v>22</v>
      </c>
      <c r="F19" s="1147">
        <f aca="true" t="shared" si="10" ref="F19:N24">F48+F71+F94+F117+F140+F163+F187+F211</f>
        <v>0</v>
      </c>
      <c r="G19" s="1147">
        <f t="shared" si="10"/>
        <v>22</v>
      </c>
      <c r="H19" s="1147">
        <f t="shared" si="10"/>
        <v>0</v>
      </c>
      <c r="I19" s="1147">
        <f t="shared" si="10"/>
        <v>2</v>
      </c>
      <c r="J19" s="1147">
        <f t="shared" si="10"/>
        <v>0</v>
      </c>
      <c r="K19" s="1147">
        <f t="shared" si="10"/>
        <v>0</v>
      </c>
      <c r="L19" s="1147">
        <f t="shared" si="10"/>
        <v>0</v>
      </c>
      <c r="M19" s="1147">
        <f t="shared" si="10"/>
        <v>0</v>
      </c>
      <c r="N19" s="1147">
        <f t="shared" si="10"/>
        <v>0</v>
      </c>
      <c r="O19" s="390"/>
    </row>
    <row r="20" spans="1:15" ht="21" customHeight="1">
      <c r="A20" s="507" t="s">
        <v>140</v>
      </c>
      <c r="B20" s="429" t="s">
        <v>141</v>
      </c>
      <c r="C20" s="1150">
        <f t="shared" si="6"/>
        <v>193</v>
      </c>
      <c r="D20" s="1147">
        <f t="shared" si="9"/>
        <v>67</v>
      </c>
      <c r="E20" s="1148">
        <f t="shared" si="7"/>
        <v>85</v>
      </c>
      <c r="F20" s="1147">
        <f t="shared" si="10"/>
        <v>18</v>
      </c>
      <c r="G20" s="1147">
        <f t="shared" si="10"/>
        <v>67</v>
      </c>
      <c r="H20" s="1147">
        <f t="shared" si="10"/>
        <v>1</v>
      </c>
      <c r="I20" s="1147">
        <f t="shared" si="10"/>
        <v>32</v>
      </c>
      <c r="J20" s="1147">
        <f t="shared" si="10"/>
        <v>2</v>
      </c>
      <c r="K20" s="1147">
        <f t="shared" si="10"/>
        <v>0</v>
      </c>
      <c r="L20" s="1147">
        <f t="shared" si="10"/>
        <v>0</v>
      </c>
      <c r="M20" s="1147">
        <f t="shared" si="10"/>
        <v>0</v>
      </c>
      <c r="N20" s="1147">
        <f t="shared" si="10"/>
        <v>6</v>
      </c>
      <c r="O20" s="390"/>
    </row>
    <row r="21" spans="1:15" ht="21" customHeight="1">
      <c r="A21" s="507" t="s">
        <v>142</v>
      </c>
      <c r="B21" s="429" t="s">
        <v>143</v>
      </c>
      <c r="C21" s="1150">
        <f t="shared" si="6"/>
        <v>11</v>
      </c>
      <c r="D21" s="1147">
        <f t="shared" si="9"/>
        <v>11</v>
      </c>
      <c r="E21" s="1139">
        <f t="shared" si="7"/>
        <v>0</v>
      </c>
      <c r="F21" s="1147">
        <f t="shared" si="10"/>
        <v>0</v>
      </c>
      <c r="G21" s="1147">
        <f t="shared" si="10"/>
        <v>0</v>
      </c>
      <c r="H21" s="1147">
        <f t="shared" si="10"/>
        <v>0</v>
      </c>
      <c r="I21" s="1147">
        <f t="shared" si="10"/>
        <v>0</v>
      </c>
      <c r="J21" s="1147">
        <f t="shared" si="10"/>
        <v>0</v>
      </c>
      <c r="K21" s="1147">
        <f t="shared" si="10"/>
        <v>0</v>
      </c>
      <c r="L21" s="1147">
        <f t="shared" si="10"/>
        <v>0</v>
      </c>
      <c r="M21" s="1147">
        <f t="shared" si="10"/>
        <v>0</v>
      </c>
      <c r="N21" s="1147">
        <f t="shared" si="10"/>
        <v>0</v>
      </c>
      <c r="O21" s="390"/>
    </row>
    <row r="22" spans="1:15" ht="21" customHeight="1">
      <c r="A22" s="507" t="s">
        <v>144</v>
      </c>
      <c r="B22" s="429" t="s">
        <v>145</v>
      </c>
      <c r="C22" s="1150">
        <f t="shared" si="6"/>
        <v>0</v>
      </c>
      <c r="D22" s="1147">
        <f t="shared" si="9"/>
        <v>0</v>
      </c>
      <c r="E22" s="1139">
        <f t="shared" si="7"/>
        <v>0</v>
      </c>
      <c r="F22" s="1147">
        <f t="shared" si="10"/>
        <v>0</v>
      </c>
      <c r="G22" s="1147">
        <f t="shared" si="10"/>
        <v>0</v>
      </c>
      <c r="H22" s="1147">
        <f t="shared" si="10"/>
        <v>0</v>
      </c>
      <c r="I22" s="1147">
        <f t="shared" si="10"/>
        <v>0</v>
      </c>
      <c r="J22" s="1147">
        <f t="shared" si="10"/>
        <v>0</v>
      </c>
      <c r="K22" s="1147">
        <f t="shared" si="10"/>
        <v>0</v>
      </c>
      <c r="L22" s="1147">
        <f t="shared" si="10"/>
        <v>0</v>
      </c>
      <c r="M22" s="1147">
        <f t="shared" si="10"/>
        <v>0</v>
      </c>
      <c r="N22" s="1147">
        <f t="shared" si="10"/>
        <v>0</v>
      </c>
      <c r="O22" s="390"/>
    </row>
    <row r="23" spans="1:15" ht="25.5">
      <c r="A23" s="507" t="s">
        <v>146</v>
      </c>
      <c r="B23" s="431" t="s">
        <v>147</v>
      </c>
      <c r="C23" s="1150">
        <f t="shared" si="6"/>
        <v>0</v>
      </c>
      <c r="D23" s="1147">
        <f t="shared" si="9"/>
        <v>0</v>
      </c>
      <c r="E23" s="1139">
        <f t="shared" si="7"/>
        <v>0</v>
      </c>
      <c r="F23" s="1147">
        <f t="shared" si="10"/>
        <v>0</v>
      </c>
      <c r="G23" s="1147">
        <f t="shared" si="10"/>
        <v>0</v>
      </c>
      <c r="H23" s="1147">
        <f t="shared" si="10"/>
        <v>0</v>
      </c>
      <c r="I23" s="1147">
        <f t="shared" si="10"/>
        <v>0</v>
      </c>
      <c r="J23" s="1147">
        <f t="shared" si="10"/>
        <v>0</v>
      </c>
      <c r="K23" s="1147">
        <f t="shared" si="10"/>
        <v>0</v>
      </c>
      <c r="L23" s="1147">
        <f t="shared" si="10"/>
        <v>0</v>
      </c>
      <c r="M23" s="1147">
        <f t="shared" si="10"/>
        <v>0</v>
      </c>
      <c r="N23" s="1147">
        <f t="shared" si="10"/>
        <v>0</v>
      </c>
      <c r="O23" s="390"/>
    </row>
    <row r="24" spans="1:15" ht="21" customHeight="1">
      <c r="A24" s="507" t="s">
        <v>148</v>
      </c>
      <c r="B24" s="429" t="s">
        <v>149</v>
      </c>
      <c r="C24" s="1150">
        <f t="shared" si="6"/>
        <v>10</v>
      </c>
      <c r="D24" s="1147">
        <f t="shared" si="9"/>
        <v>2</v>
      </c>
      <c r="E24" s="1139">
        <f t="shared" si="7"/>
        <v>7</v>
      </c>
      <c r="F24" s="1147">
        <f t="shared" si="10"/>
        <v>0</v>
      </c>
      <c r="G24" s="1147">
        <f t="shared" si="10"/>
        <v>7</v>
      </c>
      <c r="H24" s="1147">
        <f t="shared" si="10"/>
        <v>0</v>
      </c>
      <c r="I24" s="1147">
        <f t="shared" si="10"/>
        <v>0</v>
      </c>
      <c r="J24" s="1147">
        <f t="shared" si="10"/>
        <v>0</v>
      </c>
      <c r="K24" s="1147">
        <f t="shared" si="10"/>
        <v>0</v>
      </c>
      <c r="L24" s="1147">
        <f t="shared" si="10"/>
        <v>0</v>
      </c>
      <c r="M24" s="1147">
        <f t="shared" si="10"/>
        <v>0</v>
      </c>
      <c r="N24" s="1147">
        <f t="shared" si="10"/>
        <v>1</v>
      </c>
      <c r="O24" s="390"/>
    </row>
    <row r="25" spans="1:15" ht="26.25" customHeight="1">
      <c r="A25" s="508" t="s">
        <v>52</v>
      </c>
      <c r="B25" s="394" t="s">
        <v>150</v>
      </c>
      <c r="C25" s="1140">
        <f>SUM(D25,E25,H25:N25)</f>
        <v>824</v>
      </c>
      <c r="D25" s="1140">
        <f>D16-D17</f>
        <v>135</v>
      </c>
      <c r="E25" s="1142">
        <f>SUM(F25:G25)</f>
        <v>662</v>
      </c>
      <c r="F25" s="1140">
        <f aca="true" t="shared" si="11" ref="F25:N25">F16-F17</f>
        <v>98</v>
      </c>
      <c r="G25" s="1140">
        <f t="shared" si="11"/>
        <v>564</v>
      </c>
      <c r="H25" s="1140">
        <f t="shared" si="11"/>
        <v>0</v>
      </c>
      <c r="I25" s="1140">
        <f t="shared" si="11"/>
        <v>21</v>
      </c>
      <c r="J25" s="1140">
        <f t="shared" si="11"/>
        <v>4</v>
      </c>
      <c r="K25" s="1140">
        <f t="shared" si="11"/>
        <v>2</v>
      </c>
      <c r="L25" s="1140">
        <f t="shared" si="11"/>
        <v>0</v>
      </c>
      <c r="M25" s="1140">
        <f t="shared" si="11"/>
        <v>0</v>
      </c>
      <c r="N25" s="1140">
        <f t="shared" si="11"/>
        <v>0</v>
      </c>
      <c r="O25" s="390"/>
    </row>
    <row r="26" spans="1:15" s="414" customFormat="1" ht="26.25">
      <c r="A26" s="508" t="s">
        <v>538</v>
      </c>
      <c r="B26" s="432" t="s">
        <v>151</v>
      </c>
      <c r="C26" s="989">
        <f aca="true" t="shared" si="12" ref="C26:J26">(C18+C19)/C17</f>
        <v>0.9103101424979044</v>
      </c>
      <c r="D26" s="989">
        <f t="shared" si="12"/>
        <v>0.7377049180327869</v>
      </c>
      <c r="E26" s="989">
        <f t="shared" si="12"/>
        <v>0.8614457831325302</v>
      </c>
      <c r="F26" s="989">
        <f t="shared" si="12"/>
        <v>0.8144329896907216</v>
      </c>
      <c r="G26" s="989">
        <f t="shared" si="12"/>
        <v>0.8694885361552028</v>
      </c>
      <c r="H26" s="989">
        <f t="shared" si="12"/>
        <v>0.8571428571428571</v>
      </c>
      <c r="I26" s="989">
        <f t="shared" si="12"/>
        <v>0.9726962457337884</v>
      </c>
      <c r="J26" s="989">
        <f t="shared" si="12"/>
        <v>0.8</v>
      </c>
      <c r="K26" s="989" t="e">
        <f>(K18+J19)/K17</f>
        <v>#DIV/0!</v>
      </c>
      <c r="L26" s="989" t="e">
        <f>(L18+K19)/L17</f>
        <v>#DIV/0!</v>
      </c>
      <c r="M26" s="989" t="e">
        <f>(M18+L19)/M17</f>
        <v>#DIV/0!</v>
      </c>
      <c r="N26" s="989">
        <f>(N18+N19)/N17</f>
        <v>0.9692982456140351</v>
      </c>
      <c r="O26" s="390"/>
    </row>
    <row r="27" spans="1:15" s="414" customFormat="1" ht="27.75" customHeight="1">
      <c r="A27" s="950"/>
      <c r="B27" s="951"/>
      <c r="C27" s="952"/>
      <c r="D27" s="952"/>
      <c r="E27" s="952"/>
      <c r="F27" s="952"/>
      <c r="G27" s="952"/>
      <c r="H27" s="952"/>
      <c r="I27" s="952"/>
      <c r="J27" s="952"/>
      <c r="K27" s="952"/>
      <c r="L27" s="952"/>
      <c r="M27" s="952"/>
      <c r="N27" s="952"/>
      <c r="O27" s="390"/>
    </row>
    <row r="28" spans="1:15" s="414" customFormat="1" ht="25.5" customHeight="1">
      <c r="A28" s="950"/>
      <c r="B28" s="951"/>
      <c r="C28" s="952"/>
      <c r="D28" s="952"/>
      <c r="E28" s="952"/>
      <c r="F28" s="952"/>
      <c r="G28" s="952"/>
      <c r="H28" s="952"/>
      <c r="I28" s="952"/>
      <c r="J28" s="952"/>
      <c r="K28" s="952"/>
      <c r="L28" s="952"/>
      <c r="M28" s="952"/>
      <c r="N28" s="952"/>
      <c r="O28" s="390"/>
    </row>
    <row r="29" spans="1:15" s="414" customFormat="1" ht="39" customHeight="1" hidden="1">
      <c r="A29" s="950"/>
      <c r="B29" s="951"/>
      <c r="C29" s="952"/>
      <c r="D29" s="952"/>
      <c r="E29" s="952"/>
      <c r="F29" s="952"/>
      <c r="G29" s="952"/>
      <c r="H29" s="952"/>
      <c r="I29" s="952"/>
      <c r="J29" s="952"/>
      <c r="K29" s="952"/>
      <c r="L29" s="952"/>
      <c r="M29" s="952"/>
      <c r="N29" s="952"/>
      <c r="O29" s="390"/>
    </row>
    <row r="30" spans="1:15" s="414" customFormat="1" ht="14.25" customHeight="1" hidden="1">
      <c r="A30" s="950"/>
      <c r="B30" s="951"/>
      <c r="C30" s="952"/>
      <c r="D30" s="952"/>
      <c r="E30" s="952"/>
      <c r="F30" s="952"/>
      <c r="G30" s="952"/>
      <c r="H30" s="952"/>
      <c r="I30" s="952"/>
      <c r="J30" s="952"/>
      <c r="K30" s="952"/>
      <c r="L30" s="952"/>
      <c r="M30" s="952"/>
      <c r="N30" s="952"/>
      <c r="O30" s="390"/>
    </row>
    <row r="31" spans="1:15" s="414" customFormat="1" ht="16.5" customHeight="1" hidden="1">
      <c r="A31" s="950"/>
      <c r="B31" s="951"/>
      <c r="C31" s="952"/>
      <c r="D31" s="952"/>
      <c r="E31" s="952"/>
      <c r="F31" s="952"/>
      <c r="G31" s="952"/>
      <c r="H31" s="952"/>
      <c r="I31" s="952"/>
      <c r="J31" s="952"/>
      <c r="K31" s="952"/>
      <c r="L31" s="952"/>
      <c r="M31" s="952"/>
      <c r="N31" s="952"/>
      <c r="O31" s="390"/>
    </row>
    <row r="32" spans="1:15" s="414" customFormat="1" ht="15.75" hidden="1">
      <c r="A32" s="950"/>
      <c r="B32" s="951"/>
      <c r="C32" s="952"/>
      <c r="D32" s="952"/>
      <c r="E32" s="952"/>
      <c r="F32" s="952"/>
      <c r="G32" s="952"/>
      <c r="H32" s="952"/>
      <c r="I32" s="952"/>
      <c r="J32" s="952"/>
      <c r="K32" s="952"/>
      <c r="L32" s="952"/>
      <c r="M32" s="952"/>
      <c r="N32" s="952"/>
      <c r="O32" s="390"/>
    </row>
    <row r="33" ht="15" hidden="1"/>
    <row r="34" ht="15" hidden="1">
      <c r="B34" s="861" t="s">
        <v>730</v>
      </c>
    </row>
    <row r="35" spans="1:14" ht="15" customHeight="1" hidden="1">
      <c r="A35" s="1573" t="s">
        <v>68</v>
      </c>
      <c r="B35" s="1574"/>
      <c r="C35" s="1579" t="s">
        <v>37</v>
      </c>
      <c r="D35" s="1582" t="s">
        <v>335</v>
      </c>
      <c r="E35" s="1583"/>
      <c r="F35" s="1583"/>
      <c r="G35" s="1583"/>
      <c r="H35" s="1583"/>
      <c r="I35" s="1583"/>
      <c r="J35" s="1583"/>
      <c r="K35" s="1583"/>
      <c r="L35" s="1583"/>
      <c r="M35" s="1583"/>
      <c r="N35" s="1584"/>
    </row>
    <row r="36" spans="1:14" ht="15" customHeight="1" hidden="1">
      <c r="A36" s="1575"/>
      <c r="B36" s="1576"/>
      <c r="C36" s="1580"/>
      <c r="D36" s="1585" t="s">
        <v>119</v>
      </c>
      <c r="E36" s="1571" t="s">
        <v>120</v>
      </c>
      <c r="F36" s="1588"/>
      <c r="G36" s="1572"/>
      <c r="H36" s="1568" t="s">
        <v>121</v>
      </c>
      <c r="I36" s="1568" t="s">
        <v>122</v>
      </c>
      <c r="J36" s="1568" t="s">
        <v>123</v>
      </c>
      <c r="K36" s="1568" t="s">
        <v>124</v>
      </c>
      <c r="L36" s="1568" t="s">
        <v>125</v>
      </c>
      <c r="M36" s="1568" t="s">
        <v>126</v>
      </c>
      <c r="N36" s="1568" t="s">
        <v>127</v>
      </c>
    </row>
    <row r="37" spans="1:14" ht="15" hidden="1">
      <c r="A37" s="1575"/>
      <c r="B37" s="1576"/>
      <c r="C37" s="1580"/>
      <c r="D37" s="1586"/>
      <c r="E37" s="1568" t="s">
        <v>36</v>
      </c>
      <c r="F37" s="1571" t="s">
        <v>7</v>
      </c>
      <c r="G37" s="1572"/>
      <c r="H37" s="1569"/>
      <c r="I37" s="1569"/>
      <c r="J37" s="1569"/>
      <c r="K37" s="1569"/>
      <c r="L37" s="1569"/>
      <c r="M37" s="1569"/>
      <c r="N37" s="1569"/>
    </row>
    <row r="38" spans="1:14" ht="15" hidden="1">
      <c r="A38" s="1577"/>
      <c r="B38" s="1578"/>
      <c r="C38" s="1581"/>
      <c r="D38" s="1587"/>
      <c r="E38" s="1570"/>
      <c r="F38" s="559" t="s">
        <v>199</v>
      </c>
      <c r="G38" s="560" t="s">
        <v>200</v>
      </c>
      <c r="H38" s="1570"/>
      <c r="I38" s="1570"/>
      <c r="J38" s="1570"/>
      <c r="K38" s="1570"/>
      <c r="L38" s="1570"/>
      <c r="M38" s="1570"/>
      <c r="N38" s="1570"/>
    </row>
    <row r="39" spans="1:14" ht="15" hidden="1">
      <c r="A39" s="1566" t="s">
        <v>39</v>
      </c>
      <c r="B39" s="1567"/>
      <c r="C39" s="505">
        <v>1</v>
      </c>
      <c r="D39" s="505">
        <v>2</v>
      </c>
      <c r="E39" s="505">
        <v>3</v>
      </c>
      <c r="F39" s="505">
        <v>4</v>
      </c>
      <c r="G39" s="505">
        <v>5</v>
      </c>
      <c r="H39" s="505">
        <v>6</v>
      </c>
      <c r="I39" s="505">
        <v>7</v>
      </c>
      <c r="J39" s="505">
        <v>8</v>
      </c>
      <c r="K39" s="505">
        <v>9</v>
      </c>
      <c r="L39" s="505">
        <v>10</v>
      </c>
      <c r="M39" s="505">
        <v>11</v>
      </c>
      <c r="N39" s="505">
        <v>12</v>
      </c>
    </row>
    <row r="40" spans="1:14" ht="15" hidden="1">
      <c r="A40" s="506" t="s">
        <v>0</v>
      </c>
      <c r="B40" s="427" t="s">
        <v>130</v>
      </c>
      <c r="C40" s="791">
        <f aca="true" t="shared" si="13" ref="C40:C45">SUM(D40,E40,H40:N40)</f>
        <v>102</v>
      </c>
      <c r="D40" s="792">
        <f aca="true" t="shared" si="14" ref="D40:N40">SUM(D41:D42)</f>
        <v>0</v>
      </c>
      <c r="E40" s="792">
        <f t="shared" si="14"/>
        <v>90</v>
      </c>
      <c r="F40" s="792">
        <f t="shared" si="14"/>
        <v>11</v>
      </c>
      <c r="G40" s="792">
        <f t="shared" si="14"/>
        <v>79</v>
      </c>
      <c r="H40" s="792">
        <f t="shared" si="14"/>
        <v>6</v>
      </c>
      <c r="I40" s="792">
        <f t="shared" si="14"/>
        <v>0</v>
      </c>
      <c r="J40" s="792">
        <f t="shared" si="14"/>
        <v>3</v>
      </c>
      <c r="K40" s="792">
        <f t="shared" si="14"/>
        <v>0</v>
      </c>
      <c r="L40" s="792">
        <f t="shared" si="14"/>
        <v>0</v>
      </c>
      <c r="M40" s="792">
        <f t="shared" si="14"/>
        <v>0</v>
      </c>
      <c r="N40" s="792">
        <f t="shared" si="14"/>
        <v>3</v>
      </c>
    </row>
    <row r="41" spans="1:14" ht="15" hidden="1">
      <c r="A41" s="507">
        <v>1</v>
      </c>
      <c r="B41" s="429" t="s">
        <v>131</v>
      </c>
      <c r="C41" s="819">
        <f t="shared" si="13"/>
        <v>56</v>
      </c>
      <c r="D41" s="795"/>
      <c r="E41" s="793">
        <f>SUM(F41:G41)</f>
        <v>55</v>
      </c>
      <c r="F41" s="795">
        <v>11</v>
      </c>
      <c r="G41" s="795">
        <v>44</v>
      </c>
      <c r="H41" s="795">
        <v>0</v>
      </c>
      <c r="I41" s="795">
        <v>0</v>
      </c>
      <c r="J41" s="795">
        <v>1</v>
      </c>
      <c r="K41" s="795">
        <v>0</v>
      </c>
      <c r="L41" s="795">
        <v>0</v>
      </c>
      <c r="M41" s="795">
        <v>0</v>
      </c>
      <c r="N41" s="795">
        <v>0</v>
      </c>
    </row>
    <row r="42" spans="1:14" ht="15" hidden="1">
      <c r="A42" s="507">
        <v>2</v>
      </c>
      <c r="B42" s="429" t="s">
        <v>132</v>
      </c>
      <c r="C42" s="819">
        <f t="shared" si="13"/>
        <v>46</v>
      </c>
      <c r="D42" s="795">
        <v>0</v>
      </c>
      <c r="E42" s="793">
        <f>SUM(F42:G42)</f>
        <v>35</v>
      </c>
      <c r="F42" s="795">
        <v>0</v>
      </c>
      <c r="G42" s="795">
        <v>35</v>
      </c>
      <c r="H42" s="795">
        <v>6</v>
      </c>
      <c r="I42" s="795">
        <v>0</v>
      </c>
      <c r="J42" s="795">
        <v>2</v>
      </c>
      <c r="K42" s="795">
        <v>0</v>
      </c>
      <c r="L42" s="795">
        <v>0</v>
      </c>
      <c r="M42" s="795">
        <v>0</v>
      </c>
      <c r="N42" s="795">
        <v>3</v>
      </c>
    </row>
    <row r="43" spans="1:14" ht="15.75" hidden="1">
      <c r="A43" s="508" t="s">
        <v>1</v>
      </c>
      <c r="B43" s="394" t="s">
        <v>133</v>
      </c>
      <c r="C43" s="819">
        <f t="shared" si="13"/>
        <v>0</v>
      </c>
      <c r="D43" s="795">
        <v>0</v>
      </c>
      <c r="E43" s="793">
        <f>SUM(F43:G43)</f>
        <v>0</v>
      </c>
      <c r="F43" s="1118"/>
      <c r="G43" s="1118"/>
      <c r="H43" s="1118"/>
      <c r="I43" s="1118"/>
      <c r="J43" s="1118"/>
      <c r="K43" s="1118"/>
      <c r="L43" s="1118"/>
      <c r="M43" s="1118"/>
      <c r="N43" s="1118"/>
    </row>
    <row r="44" spans="1:14" ht="15.75" customHeight="1" hidden="1">
      <c r="A44" s="508" t="s">
        <v>9</v>
      </c>
      <c r="B44" s="394" t="s">
        <v>134</v>
      </c>
      <c r="C44" s="819">
        <f t="shared" si="13"/>
        <v>0</v>
      </c>
      <c r="D44" s="795"/>
      <c r="E44" s="793">
        <f>SUM(F44:G44)</f>
        <v>0</v>
      </c>
      <c r="F44" s="820"/>
      <c r="G44" s="820"/>
      <c r="H44" s="820"/>
      <c r="I44" s="820"/>
      <c r="J44" s="820"/>
      <c r="K44" s="820"/>
      <c r="L44" s="820"/>
      <c r="M44" s="820"/>
      <c r="N44" s="820"/>
    </row>
    <row r="45" spans="1:14" ht="15" hidden="1">
      <c r="A45" s="508" t="s">
        <v>135</v>
      </c>
      <c r="B45" s="394" t="s">
        <v>136</v>
      </c>
      <c r="C45" s="791">
        <f t="shared" si="13"/>
        <v>102</v>
      </c>
      <c r="D45" s="792">
        <f>D40-SUM(D43,D44)</f>
        <v>0</v>
      </c>
      <c r="E45" s="792">
        <f>E40-SUM(E43,E44)</f>
        <v>90</v>
      </c>
      <c r="F45" s="792">
        <f aca="true" t="shared" si="15" ref="F45:M45">F40-SUM(F43,F44)</f>
        <v>11</v>
      </c>
      <c r="G45" s="792">
        <f t="shared" si="15"/>
        <v>79</v>
      </c>
      <c r="H45" s="792">
        <f t="shared" si="15"/>
        <v>6</v>
      </c>
      <c r="I45" s="792">
        <f t="shared" si="15"/>
        <v>0</v>
      </c>
      <c r="J45" s="792">
        <f t="shared" si="15"/>
        <v>3</v>
      </c>
      <c r="K45" s="792">
        <f t="shared" si="15"/>
        <v>0</v>
      </c>
      <c r="L45" s="792">
        <f t="shared" si="15"/>
        <v>0</v>
      </c>
      <c r="M45" s="792">
        <f t="shared" si="15"/>
        <v>0</v>
      </c>
      <c r="N45" s="792">
        <f>N40-SUM(N43,N44)</f>
        <v>3</v>
      </c>
    </row>
    <row r="46" spans="1:14" ht="15" hidden="1">
      <c r="A46" s="508" t="s">
        <v>51</v>
      </c>
      <c r="B46" s="430" t="s">
        <v>137</v>
      </c>
      <c r="C46" s="791">
        <f>C47+C48+C49+C50+C51+C52+C53</f>
        <v>49</v>
      </c>
      <c r="D46" s="791">
        <f>D47+D48+D49+D50+D51+D52+D53</f>
        <v>0</v>
      </c>
      <c r="E46" s="791">
        <f>F46+G46</f>
        <v>38</v>
      </c>
      <c r="F46" s="791">
        <f aca="true" t="shared" si="16" ref="F46:M46">F47+F48+F49+F50+F51+F52+F53</f>
        <v>1</v>
      </c>
      <c r="G46" s="791">
        <f t="shared" si="16"/>
        <v>37</v>
      </c>
      <c r="H46" s="791">
        <f t="shared" si="16"/>
        <v>6</v>
      </c>
      <c r="I46" s="791">
        <f t="shared" si="16"/>
        <v>0</v>
      </c>
      <c r="J46" s="791">
        <f t="shared" si="16"/>
        <v>2</v>
      </c>
      <c r="K46" s="791">
        <f t="shared" si="16"/>
        <v>0</v>
      </c>
      <c r="L46" s="791">
        <f t="shared" si="16"/>
        <v>0</v>
      </c>
      <c r="M46" s="791">
        <f t="shared" si="16"/>
        <v>0</v>
      </c>
      <c r="N46" s="791">
        <f>N47+N48+N49+N50+N51+N52+N53</f>
        <v>3</v>
      </c>
    </row>
    <row r="47" spans="1:14" ht="15.75" hidden="1">
      <c r="A47" s="507" t="s">
        <v>53</v>
      </c>
      <c r="B47" s="429" t="s">
        <v>138</v>
      </c>
      <c r="C47" s="796">
        <f aca="true" t="shared" si="17" ref="C47:C53">SUM(D47,E47,H47:N47)</f>
        <v>42</v>
      </c>
      <c r="D47" s="925"/>
      <c r="E47" s="1116">
        <f aca="true" t="shared" si="18" ref="E47:E53">SUM(F47:G47)</f>
        <v>32</v>
      </c>
      <c r="F47" s="925">
        <v>1</v>
      </c>
      <c r="G47" s="925">
        <v>31</v>
      </c>
      <c r="H47" s="925">
        <v>5</v>
      </c>
      <c r="I47" s="925">
        <v>0</v>
      </c>
      <c r="J47" s="925">
        <v>2</v>
      </c>
      <c r="K47" s="925">
        <v>0</v>
      </c>
      <c r="L47" s="925">
        <v>0</v>
      </c>
      <c r="M47" s="925">
        <v>0</v>
      </c>
      <c r="N47" s="925">
        <v>3</v>
      </c>
    </row>
    <row r="48" spans="1:14" ht="15" hidden="1">
      <c r="A48" s="507" t="s">
        <v>54</v>
      </c>
      <c r="B48" s="429" t="s">
        <v>139</v>
      </c>
      <c r="C48" s="796">
        <f t="shared" si="17"/>
        <v>0</v>
      </c>
      <c r="D48" s="795">
        <v>0</v>
      </c>
      <c r="E48" s="793">
        <f t="shared" si="18"/>
        <v>0</v>
      </c>
      <c r="F48" s="795">
        <v>0</v>
      </c>
      <c r="G48" s="795">
        <v>0</v>
      </c>
      <c r="H48" s="795">
        <v>0</v>
      </c>
      <c r="I48" s="795">
        <v>0</v>
      </c>
      <c r="J48" s="795">
        <v>0</v>
      </c>
      <c r="K48" s="795">
        <v>0</v>
      </c>
      <c r="L48" s="795">
        <v>0</v>
      </c>
      <c r="M48" s="795">
        <v>0</v>
      </c>
      <c r="N48" s="795">
        <v>0</v>
      </c>
    </row>
    <row r="49" spans="1:14" ht="15" hidden="1">
      <c r="A49" s="507" t="s">
        <v>140</v>
      </c>
      <c r="B49" s="429" t="s">
        <v>141</v>
      </c>
      <c r="C49" s="796">
        <f t="shared" si="17"/>
        <v>7</v>
      </c>
      <c r="D49" s="795">
        <v>0</v>
      </c>
      <c r="E49" s="793">
        <f t="shared" si="18"/>
        <v>6</v>
      </c>
      <c r="F49" s="795">
        <v>0</v>
      </c>
      <c r="G49" s="795">
        <v>6</v>
      </c>
      <c r="H49" s="795">
        <v>1</v>
      </c>
      <c r="I49" s="795">
        <v>0</v>
      </c>
      <c r="J49" s="795">
        <v>0</v>
      </c>
      <c r="K49" s="795">
        <v>0</v>
      </c>
      <c r="L49" s="795">
        <v>0</v>
      </c>
      <c r="M49" s="795">
        <v>0</v>
      </c>
      <c r="N49" s="795">
        <v>0</v>
      </c>
    </row>
    <row r="50" spans="1:14" ht="15.75" hidden="1">
      <c r="A50" s="507" t="s">
        <v>142</v>
      </c>
      <c r="B50" s="429" t="s">
        <v>143</v>
      </c>
      <c r="C50" s="797">
        <f t="shared" si="17"/>
        <v>0</v>
      </c>
      <c r="D50" s="795">
        <v>0</v>
      </c>
      <c r="E50" s="798">
        <f t="shared" si="18"/>
        <v>0</v>
      </c>
      <c r="F50" s="863"/>
      <c r="G50" s="863"/>
      <c r="H50" s="863"/>
      <c r="I50" s="863"/>
      <c r="J50" s="863"/>
      <c r="K50" s="863"/>
      <c r="L50" s="863"/>
      <c r="M50" s="863"/>
      <c r="N50" s="863"/>
    </row>
    <row r="51" spans="1:14" ht="15.75" hidden="1">
      <c r="A51" s="507" t="s">
        <v>144</v>
      </c>
      <c r="B51" s="429" t="s">
        <v>145</v>
      </c>
      <c r="C51" s="796">
        <f t="shared" si="17"/>
        <v>0</v>
      </c>
      <c r="D51" s="803"/>
      <c r="E51" s="793">
        <f t="shared" si="18"/>
        <v>0</v>
      </c>
      <c r="F51" s="863"/>
      <c r="G51" s="863"/>
      <c r="H51" s="863"/>
      <c r="I51" s="863"/>
      <c r="J51" s="863"/>
      <c r="K51" s="863"/>
      <c r="L51" s="863"/>
      <c r="M51" s="863"/>
      <c r="N51" s="863"/>
    </row>
    <row r="52" spans="1:14" ht="25.5" hidden="1">
      <c r="A52" s="507" t="s">
        <v>146</v>
      </c>
      <c r="B52" s="431" t="s">
        <v>147</v>
      </c>
      <c r="C52" s="796">
        <f t="shared" si="17"/>
        <v>0</v>
      </c>
      <c r="D52" s="803"/>
      <c r="E52" s="793">
        <f t="shared" si="18"/>
        <v>0</v>
      </c>
      <c r="F52" s="863"/>
      <c r="G52" s="863"/>
      <c r="H52" s="863"/>
      <c r="I52" s="863"/>
      <c r="J52" s="863"/>
      <c r="K52" s="863"/>
      <c r="L52" s="863"/>
      <c r="M52" s="863"/>
      <c r="N52" s="863"/>
    </row>
    <row r="53" spans="1:14" ht="15.75" hidden="1">
      <c r="A53" s="507" t="s">
        <v>148</v>
      </c>
      <c r="B53" s="429" t="s">
        <v>149</v>
      </c>
      <c r="C53" s="796">
        <f t="shared" si="17"/>
        <v>0</v>
      </c>
      <c r="D53" s="803"/>
      <c r="E53" s="793">
        <f t="shared" si="18"/>
        <v>0</v>
      </c>
      <c r="F53" s="406">
        <f>0+0+0</f>
        <v>0</v>
      </c>
      <c r="G53" s="820"/>
      <c r="H53" s="820">
        <f>0+0+0</f>
        <v>0</v>
      </c>
      <c r="I53" s="820"/>
      <c r="J53" s="820"/>
      <c r="K53" s="820"/>
      <c r="L53" s="820"/>
      <c r="M53" s="820"/>
      <c r="N53" s="820"/>
    </row>
    <row r="54" spans="1:14" ht="15" hidden="1">
      <c r="A54" s="508" t="s">
        <v>52</v>
      </c>
      <c r="B54" s="394" t="s">
        <v>150</v>
      </c>
      <c r="C54" s="791">
        <f>SUM(D54,E54,H54:N54)</f>
        <v>53</v>
      </c>
      <c r="D54" s="791">
        <f>D45-D46</f>
        <v>0</v>
      </c>
      <c r="E54" s="792">
        <f>SUM(F54:G54)</f>
        <v>52</v>
      </c>
      <c r="F54" s="791">
        <f aca="true" t="shared" si="19" ref="F54:N54">F45-F46</f>
        <v>10</v>
      </c>
      <c r="G54" s="791">
        <f t="shared" si="19"/>
        <v>42</v>
      </c>
      <c r="H54" s="791">
        <f t="shared" si="19"/>
        <v>0</v>
      </c>
      <c r="I54" s="791">
        <f t="shared" si="19"/>
        <v>0</v>
      </c>
      <c r="J54" s="791">
        <f t="shared" si="19"/>
        <v>1</v>
      </c>
      <c r="K54" s="791">
        <f t="shared" si="19"/>
        <v>0</v>
      </c>
      <c r="L54" s="791">
        <f t="shared" si="19"/>
        <v>0</v>
      </c>
      <c r="M54" s="791">
        <f t="shared" si="19"/>
        <v>0</v>
      </c>
      <c r="N54" s="791">
        <f t="shared" si="19"/>
        <v>0</v>
      </c>
    </row>
    <row r="55" spans="1:14" ht="25.5" hidden="1">
      <c r="A55" s="508" t="s">
        <v>538</v>
      </c>
      <c r="B55" s="432" t="s">
        <v>151</v>
      </c>
      <c r="C55" s="413">
        <f>(C47+C48)/C46</f>
        <v>0.8571428571428571</v>
      </c>
      <c r="D55" s="413" t="e">
        <f aca="true" t="shared" si="20" ref="D55:N55">(D47+C48)/D46</f>
        <v>#DIV/0!</v>
      </c>
      <c r="E55" s="413">
        <f t="shared" si="20"/>
        <v>0.8421052631578947</v>
      </c>
      <c r="F55" s="413">
        <f t="shared" si="20"/>
        <v>1</v>
      </c>
      <c r="G55" s="413">
        <f t="shared" si="20"/>
        <v>0.8378378378378378</v>
      </c>
      <c r="H55" s="413">
        <f t="shared" si="20"/>
        <v>0.8333333333333334</v>
      </c>
      <c r="I55" s="413" t="e">
        <f t="shared" si="20"/>
        <v>#DIV/0!</v>
      </c>
      <c r="J55" s="413">
        <f t="shared" si="20"/>
        <v>1</v>
      </c>
      <c r="K55" s="413" t="e">
        <f t="shared" si="20"/>
        <v>#DIV/0!</v>
      </c>
      <c r="L55" s="413" t="e">
        <f t="shared" si="20"/>
        <v>#DIV/0!</v>
      </c>
      <c r="M55" s="413" t="e">
        <f t="shared" si="20"/>
        <v>#DIV/0!</v>
      </c>
      <c r="N55" s="413">
        <f t="shared" si="20"/>
        <v>1</v>
      </c>
    </row>
    <row r="56" ht="15" hidden="1"/>
    <row r="57" ht="15" hidden="1">
      <c r="B57" s="862" t="s">
        <v>503</v>
      </c>
    </row>
    <row r="58" spans="1:14" ht="15" customHeight="1" hidden="1">
      <c r="A58" s="1573" t="s">
        <v>68</v>
      </c>
      <c r="B58" s="1574"/>
      <c r="C58" s="1579" t="s">
        <v>37</v>
      </c>
      <c r="D58" s="1582" t="s">
        <v>335</v>
      </c>
      <c r="E58" s="1583"/>
      <c r="F58" s="1583"/>
      <c r="G58" s="1583"/>
      <c r="H58" s="1583"/>
      <c r="I58" s="1583"/>
      <c r="J58" s="1583"/>
      <c r="K58" s="1583"/>
      <c r="L58" s="1583"/>
      <c r="M58" s="1583"/>
      <c r="N58" s="1584"/>
    </row>
    <row r="59" spans="1:14" ht="15" customHeight="1" hidden="1">
      <c r="A59" s="1575"/>
      <c r="B59" s="1576"/>
      <c r="C59" s="1580"/>
      <c r="D59" s="1585" t="s">
        <v>119</v>
      </c>
      <c r="E59" s="1571" t="s">
        <v>120</v>
      </c>
      <c r="F59" s="1588"/>
      <c r="G59" s="1572"/>
      <c r="H59" s="1568" t="s">
        <v>121</v>
      </c>
      <c r="I59" s="1568" t="s">
        <v>122</v>
      </c>
      <c r="J59" s="1568" t="s">
        <v>123</v>
      </c>
      <c r="K59" s="1568" t="s">
        <v>124</v>
      </c>
      <c r="L59" s="1568" t="s">
        <v>125</v>
      </c>
      <c r="M59" s="1568" t="s">
        <v>126</v>
      </c>
      <c r="N59" s="1568" t="s">
        <v>127</v>
      </c>
    </row>
    <row r="60" spans="1:14" ht="15" hidden="1">
      <c r="A60" s="1575"/>
      <c r="B60" s="1576"/>
      <c r="C60" s="1580"/>
      <c r="D60" s="1586"/>
      <c r="E60" s="1568" t="s">
        <v>36</v>
      </c>
      <c r="F60" s="1571" t="s">
        <v>7</v>
      </c>
      <c r="G60" s="1572"/>
      <c r="H60" s="1569"/>
      <c r="I60" s="1569"/>
      <c r="J60" s="1569"/>
      <c r="K60" s="1569"/>
      <c r="L60" s="1569"/>
      <c r="M60" s="1569"/>
      <c r="N60" s="1569"/>
    </row>
    <row r="61" spans="1:14" ht="15" hidden="1">
      <c r="A61" s="1577"/>
      <c r="B61" s="1578"/>
      <c r="C61" s="1581"/>
      <c r="D61" s="1587"/>
      <c r="E61" s="1570"/>
      <c r="F61" s="559" t="s">
        <v>199</v>
      </c>
      <c r="G61" s="560" t="s">
        <v>200</v>
      </c>
      <c r="H61" s="1570"/>
      <c r="I61" s="1570"/>
      <c r="J61" s="1570"/>
      <c r="K61" s="1570"/>
      <c r="L61" s="1570"/>
      <c r="M61" s="1570"/>
      <c r="N61" s="1570"/>
    </row>
    <row r="62" spans="1:14" ht="15" hidden="1">
      <c r="A62" s="1566" t="s">
        <v>39</v>
      </c>
      <c r="B62" s="1567"/>
      <c r="C62" s="505">
        <v>1</v>
      </c>
      <c r="D62" s="505">
        <v>2</v>
      </c>
      <c r="E62" s="505">
        <v>3</v>
      </c>
      <c r="F62" s="505">
        <v>4</v>
      </c>
      <c r="G62" s="505">
        <v>5</v>
      </c>
      <c r="H62" s="505">
        <v>6</v>
      </c>
      <c r="I62" s="505">
        <v>7</v>
      </c>
      <c r="J62" s="505">
        <v>8</v>
      </c>
      <c r="K62" s="505">
        <v>9</v>
      </c>
      <c r="L62" s="505">
        <v>10</v>
      </c>
      <c r="M62" s="505">
        <v>11</v>
      </c>
      <c r="N62" s="505">
        <v>12</v>
      </c>
    </row>
    <row r="63" spans="1:14" ht="17.25" customHeight="1" hidden="1">
      <c r="A63" s="506" t="s">
        <v>0</v>
      </c>
      <c r="B63" s="427" t="s">
        <v>130</v>
      </c>
      <c r="C63" s="791">
        <f aca="true" t="shared" si="21" ref="C63:C68">SUM(D63,E63,H63:N63)</f>
        <v>677</v>
      </c>
      <c r="D63" s="792">
        <f aca="true" t="shared" si="22" ref="D63:N63">SUM(D64:D65)</f>
        <v>177</v>
      </c>
      <c r="E63" s="792">
        <f t="shared" si="22"/>
        <v>202</v>
      </c>
      <c r="F63" s="792">
        <f t="shared" si="22"/>
        <v>67</v>
      </c>
      <c r="G63" s="792">
        <f t="shared" si="22"/>
        <v>135</v>
      </c>
      <c r="H63" s="792">
        <f t="shared" si="22"/>
        <v>0</v>
      </c>
      <c r="I63" s="792">
        <f t="shared" si="22"/>
        <v>286</v>
      </c>
      <c r="J63" s="792">
        <f t="shared" si="22"/>
        <v>10</v>
      </c>
      <c r="K63" s="792">
        <f t="shared" si="22"/>
        <v>2</v>
      </c>
      <c r="L63" s="792">
        <f t="shared" si="22"/>
        <v>0</v>
      </c>
      <c r="M63" s="792">
        <f t="shared" si="22"/>
        <v>0</v>
      </c>
      <c r="N63" s="792">
        <f t="shared" si="22"/>
        <v>0</v>
      </c>
    </row>
    <row r="64" spans="1:14" ht="21.75" customHeight="1" hidden="1">
      <c r="A64" s="507">
        <v>1</v>
      </c>
      <c r="B64" s="429" t="s">
        <v>131</v>
      </c>
      <c r="C64" s="819">
        <f t="shared" si="21"/>
        <v>183</v>
      </c>
      <c r="D64" s="820">
        <v>90</v>
      </c>
      <c r="E64" s="793">
        <f>SUM(F64:G64)</f>
        <v>84</v>
      </c>
      <c r="F64" s="406">
        <v>23</v>
      </c>
      <c r="G64" s="406">
        <v>61</v>
      </c>
      <c r="H64" s="406">
        <v>0</v>
      </c>
      <c r="I64" s="406">
        <v>5</v>
      </c>
      <c r="J64" s="406">
        <v>2</v>
      </c>
      <c r="K64" s="406">
        <v>2</v>
      </c>
      <c r="L64" s="406">
        <v>0</v>
      </c>
      <c r="M64" s="406">
        <v>0</v>
      </c>
      <c r="N64" s="820"/>
    </row>
    <row r="65" spans="1:14" ht="20.25" customHeight="1" hidden="1">
      <c r="A65" s="507">
        <v>2</v>
      </c>
      <c r="B65" s="429" t="s">
        <v>132</v>
      </c>
      <c r="C65" s="819">
        <f t="shared" si="21"/>
        <v>494</v>
      </c>
      <c r="D65" s="820">
        <v>87</v>
      </c>
      <c r="E65" s="793">
        <f>SUM(F65:G65)</f>
        <v>118</v>
      </c>
      <c r="F65" s="406">
        <v>44</v>
      </c>
      <c r="G65" s="406">
        <v>74</v>
      </c>
      <c r="H65" s="406">
        <v>0</v>
      </c>
      <c r="I65" s="406">
        <v>281</v>
      </c>
      <c r="J65" s="406">
        <v>8</v>
      </c>
      <c r="K65" s="406">
        <v>0</v>
      </c>
      <c r="L65" s="406">
        <v>0</v>
      </c>
      <c r="M65" s="406">
        <v>0</v>
      </c>
      <c r="N65" s="820"/>
    </row>
    <row r="66" spans="1:14" ht="15" hidden="1">
      <c r="A66" s="508" t="s">
        <v>1</v>
      </c>
      <c r="B66" s="394" t="s">
        <v>133</v>
      </c>
      <c r="C66" s="819">
        <f t="shared" si="21"/>
        <v>6</v>
      </c>
      <c r="D66" s="820">
        <v>2</v>
      </c>
      <c r="E66" s="793">
        <f>SUM(F66:G66)</f>
        <v>4</v>
      </c>
      <c r="F66" s="406">
        <v>3</v>
      </c>
      <c r="G66" s="406">
        <v>1</v>
      </c>
      <c r="H66" s="406">
        <v>0</v>
      </c>
      <c r="I66" s="406">
        <v>0</v>
      </c>
      <c r="J66" s="406">
        <v>0</v>
      </c>
      <c r="K66" s="406">
        <v>0</v>
      </c>
      <c r="L66" s="406">
        <v>0</v>
      </c>
      <c r="M66" s="406">
        <v>0</v>
      </c>
      <c r="N66" s="820"/>
    </row>
    <row r="67" spans="1:14" ht="16.5" customHeight="1" hidden="1">
      <c r="A67" s="508" t="s">
        <v>9</v>
      </c>
      <c r="B67" s="394" t="s">
        <v>134</v>
      </c>
      <c r="C67" s="819">
        <f t="shared" si="21"/>
        <v>0</v>
      </c>
      <c r="D67" s="883"/>
      <c r="E67" s="793">
        <f>SUM(F67:G67)</f>
        <v>0</v>
      </c>
      <c r="F67" s="820"/>
      <c r="G67" s="820"/>
      <c r="H67" s="820"/>
      <c r="I67" s="820"/>
      <c r="J67" s="820"/>
      <c r="K67" s="820"/>
      <c r="L67" s="820"/>
      <c r="M67" s="820"/>
      <c r="N67" s="820"/>
    </row>
    <row r="68" spans="1:14" ht="15" hidden="1">
      <c r="A68" s="508" t="s">
        <v>135</v>
      </c>
      <c r="B68" s="394" t="s">
        <v>136</v>
      </c>
      <c r="C68" s="791">
        <f t="shared" si="21"/>
        <v>671</v>
      </c>
      <c r="D68" s="792">
        <f>D63-SUM(D66,D67)</f>
        <v>175</v>
      </c>
      <c r="E68" s="792">
        <f>E63-SUM(E66,E67)</f>
        <v>198</v>
      </c>
      <c r="F68" s="792">
        <f aca="true" t="shared" si="23" ref="F68:M68">F63-SUM(F66,F67)</f>
        <v>64</v>
      </c>
      <c r="G68" s="792">
        <f t="shared" si="23"/>
        <v>134</v>
      </c>
      <c r="H68" s="792">
        <f t="shared" si="23"/>
        <v>0</v>
      </c>
      <c r="I68" s="792">
        <f t="shared" si="23"/>
        <v>286</v>
      </c>
      <c r="J68" s="792">
        <f t="shared" si="23"/>
        <v>10</v>
      </c>
      <c r="K68" s="792">
        <f t="shared" si="23"/>
        <v>2</v>
      </c>
      <c r="L68" s="792">
        <f t="shared" si="23"/>
        <v>0</v>
      </c>
      <c r="M68" s="792">
        <f t="shared" si="23"/>
        <v>0</v>
      </c>
      <c r="N68" s="792">
        <f>N63-SUM(N66,N67)</f>
        <v>0</v>
      </c>
    </row>
    <row r="69" spans="1:14" ht="15" hidden="1">
      <c r="A69" s="508" t="s">
        <v>51</v>
      </c>
      <c r="B69" s="430" t="s">
        <v>137</v>
      </c>
      <c r="C69" s="791">
        <f>C70+C71+C72+C73+C74+C75+C76</f>
        <v>519</v>
      </c>
      <c r="D69" s="791">
        <f>D70+D71+D72+D73+D74+D75+D76</f>
        <v>104</v>
      </c>
      <c r="E69" s="791">
        <f>F69+G69</f>
        <v>123</v>
      </c>
      <c r="F69" s="791">
        <f aca="true" t="shared" si="24" ref="F69:M69">F70+F71+F72+F73+F74+F75+F76</f>
        <v>43</v>
      </c>
      <c r="G69" s="791">
        <f t="shared" si="24"/>
        <v>80</v>
      </c>
      <c r="H69" s="791">
        <f t="shared" si="24"/>
        <v>0</v>
      </c>
      <c r="I69" s="791">
        <f t="shared" si="24"/>
        <v>284</v>
      </c>
      <c r="J69" s="791">
        <f t="shared" si="24"/>
        <v>8</v>
      </c>
      <c r="K69" s="791">
        <f t="shared" si="24"/>
        <v>0</v>
      </c>
      <c r="L69" s="791">
        <f t="shared" si="24"/>
        <v>0</v>
      </c>
      <c r="M69" s="791">
        <f t="shared" si="24"/>
        <v>0</v>
      </c>
      <c r="N69" s="791">
        <f>N70+N71+N72+N73+N74+N75+N76</f>
        <v>0</v>
      </c>
    </row>
    <row r="70" spans="1:14" ht="15" hidden="1">
      <c r="A70" s="507" t="s">
        <v>53</v>
      </c>
      <c r="B70" s="429" t="s">
        <v>138</v>
      </c>
      <c r="C70" s="796">
        <f aca="true" t="shared" si="25" ref="C70:C76">SUM(D70,E70,H70:N70)</f>
        <v>462</v>
      </c>
      <c r="D70" s="406">
        <v>74</v>
      </c>
      <c r="E70" s="793">
        <f aca="true" t="shared" si="26" ref="E70:E76">SUM(F70:G70)</f>
        <v>103</v>
      </c>
      <c r="F70" s="406">
        <v>36</v>
      </c>
      <c r="G70" s="406">
        <v>67</v>
      </c>
      <c r="H70" s="406">
        <v>0</v>
      </c>
      <c r="I70" s="406">
        <v>279</v>
      </c>
      <c r="J70" s="406">
        <v>6</v>
      </c>
      <c r="K70" s="406">
        <v>0</v>
      </c>
      <c r="L70" s="406">
        <v>0</v>
      </c>
      <c r="M70" s="406">
        <v>0</v>
      </c>
      <c r="N70" s="820"/>
    </row>
    <row r="71" spans="1:14" ht="15" hidden="1">
      <c r="A71" s="507" t="s">
        <v>54</v>
      </c>
      <c r="B71" s="429" t="s">
        <v>139</v>
      </c>
      <c r="C71" s="796">
        <f t="shared" si="25"/>
        <v>4</v>
      </c>
      <c r="D71" s="406">
        <v>1</v>
      </c>
      <c r="E71" s="793">
        <f t="shared" si="26"/>
        <v>2</v>
      </c>
      <c r="F71" s="406">
        <v>0</v>
      </c>
      <c r="G71" s="406">
        <v>2</v>
      </c>
      <c r="H71" s="406">
        <v>0</v>
      </c>
      <c r="I71" s="406">
        <v>1</v>
      </c>
      <c r="J71" s="406">
        <v>0</v>
      </c>
      <c r="K71" s="406">
        <v>0</v>
      </c>
      <c r="L71" s="406">
        <v>0</v>
      </c>
      <c r="M71" s="406">
        <v>0</v>
      </c>
      <c r="N71" s="820"/>
    </row>
    <row r="72" spans="1:14" ht="15" hidden="1">
      <c r="A72" s="507" t="s">
        <v>140</v>
      </c>
      <c r="B72" s="429" t="s">
        <v>141</v>
      </c>
      <c r="C72" s="796">
        <f t="shared" si="25"/>
        <v>44</v>
      </c>
      <c r="D72" s="406">
        <v>21</v>
      </c>
      <c r="E72" s="793">
        <f t="shared" si="26"/>
        <v>17</v>
      </c>
      <c r="F72" s="406">
        <v>7</v>
      </c>
      <c r="G72" s="406">
        <v>10</v>
      </c>
      <c r="H72" s="406">
        <v>0</v>
      </c>
      <c r="I72" s="406">
        <v>4</v>
      </c>
      <c r="J72" s="406">
        <v>2</v>
      </c>
      <c r="K72" s="406">
        <v>0</v>
      </c>
      <c r="L72" s="406">
        <v>0</v>
      </c>
      <c r="M72" s="406">
        <v>0</v>
      </c>
      <c r="N72" s="820"/>
    </row>
    <row r="73" spans="1:14" ht="15" hidden="1">
      <c r="A73" s="507" t="s">
        <v>142</v>
      </c>
      <c r="B73" s="429" t="s">
        <v>143</v>
      </c>
      <c r="C73" s="797">
        <f t="shared" si="25"/>
        <v>7</v>
      </c>
      <c r="D73" s="406">
        <v>7</v>
      </c>
      <c r="E73" s="798">
        <f t="shared" si="26"/>
        <v>0</v>
      </c>
      <c r="F73" s="406">
        <v>0</v>
      </c>
      <c r="G73" s="406">
        <v>0</v>
      </c>
      <c r="H73" s="406">
        <v>0</v>
      </c>
      <c r="I73" s="406">
        <v>0</v>
      </c>
      <c r="J73" s="406">
        <v>0</v>
      </c>
      <c r="K73" s="406">
        <v>0</v>
      </c>
      <c r="L73" s="406">
        <v>0</v>
      </c>
      <c r="M73" s="406">
        <v>0</v>
      </c>
      <c r="N73" s="820"/>
    </row>
    <row r="74" spans="1:14" ht="15" hidden="1">
      <c r="A74" s="507" t="s">
        <v>144</v>
      </c>
      <c r="B74" s="429" t="s">
        <v>145</v>
      </c>
      <c r="C74" s="796">
        <f t="shared" si="25"/>
        <v>0</v>
      </c>
      <c r="D74" s="406">
        <v>0</v>
      </c>
      <c r="E74" s="793">
        <f t="shared" si="26"/>
        <v>0</v>
      </c>
      <c r="F74" s="406">
        <v>0</v>
      </c>
      <c r="G74" s="406">
        <v>0</v>
      </c>
      <c r="H74" s="406">
        <v>0</v>
      </c>
      <c r="I74" s="406">
        <v>0</v>
      </c>
      <c r="J74" s="406">
        <v>0</v>
      </c>
      <c r="K74" s="406">
        <v>0</v>
      </c>
      <c r="L74" s="406">
        <v>0</v>
      </c>
      <c r="M74" s="406">
        <v>0</v>
      </c>
      <c r="N74" s="820"/>
    </row>
    <row r="75" spans="1:14" ht="25.5" hidden="1">
      <c r="A75" s="507" t="s">
        <v>146</v>
      </c>
      <c r="B75" s="431" t="s">
        <v>147</v>
      </c>
      <c r="C75" s="796">
        <f t="shared" si="25"/>
        <v>0</v>
      </c>
      <c r="D75" s="406">
        <v>0</v>
      </c>
      <c r="E75" s="793">
        <f t="shared" si="26"/>
        <v>0</v>
      </c>
      <c r="F75" s="406">
        <v>0</v>
      </c>
      <c r="G75" s="406">
        <v>0</v>
      </c>
      <c r="H75" s="406">
        <v>0</v>
      </c>
      <c r="I75" s="406">
        <v>0</v>
      </c>
      <c r="J75" s="406">
        <v>0</v>
      </c>
      <c r="K75" s="406">
        <v>0</v>
      </c>
      <c r="L75" s="406">
        <v>0</v>
      </c>
      <c r="M75" s="406">
        <v>0</v>
      </c>
      <c r="N75" s="820">
        <v>0</v>
      </c>
    </row>
    <row r="76" spans="1:14" ht="15" hidden="1">
      <c r="A76" s="507" t="s">
        <v>148</v>
      </c>
      <c r="B76" s="429" t="s">
        <v>149</v>
      </c>
      <c r="C76" s="796">
        <f t="shared" si="25"/>
        <v>2</v>
      </c>
      <c r="D76" s="406">
        <v>1</v>
      </c>
      <c r="E76" s="793">
        <f t="shared" si="26"/>
        <v>1</v>
      </c>
      <c r="F76" s="406">
        <v>0</v>
      </c>
      <c r="G76" s="406">
        <v>1</v>
      </c>
      <c r="H76" s="406">
        <v>0</v>
      </c>
      <c r="I76" s="406">
        <v>0</v>
      </c>
      <c r="J76" s="406">
        <v>0</v>
      </c>
      <c r="K76" s="406">
        <v>0</v>
      </c>
      <c r="L76" s="406">
        <v>0</v>
      </c>
      <c r="M76" s="406">
        <v>0</v>
      </c>
      <c r="N76" s="820">
        <v>0</v>
      </c>
    </row>
    <row r="77" spans="1:14" ht="18.75" customHeight="1" hidden="1">
      <c r="A77" s="508" t="s">
        <v>52</v>
      </c>
      <c r="B77" s="394" t="s">
        <v>150</v>
      </c>
      <c r="C77" s="791">
        <f>SUM(D77,E77,H77:N77)</f>
        <v>152</v>
      </c>
      <c r="D77" s="791">
        <f aca="true" t="shared" si="27" ref="D77:N77">D68-D69</f>
        <v>71</v>
      </c>
      <c r="E77" s="792">
        <f>SUM(F77:G77)</f>
        <v>75</v>
      </c>
      <c r="F77" s="791">
        <f t="shared" si="27"/>
        <v>21</v>
      </c>
      <c r="G77" s="791">
        <f t="shared" si="27"/>
        <v>54</v>
      </c>
      <c r="H77" s="791">
        <f t="shared" si="27"/>
        <v>0</v>
      </c>
      <c r="I77" s="791">
        <f t="shared" si="27"/>
        <v>2</v>
      </c>
      <c r="J77" s="791">
        <f t="shared" si="27"/>
        <v>2</v>
      </c>
      <c r="K77" s="791">
        <f t="shared" si="27"/>
        <v>2</v>
      </c>
      <c r="L77" s="791">
        <f t="shared" si="27"/>
        <v>0</v>
      </c>
      <c r="M77" s="791">
        <f t="shared" si="27"/>
        <v>0</v>
      </c>
      <c r="N77" s="791">
        <f t="shared" si="27"/>
        <v>0</v>
      </c>
    </row>
    <row r="78" spans="1:14" ht="25.5" hidden="1">
      <c r="A78" s="508" t="s">
        <v>538</v>
      </c>
      <c r="B78" s="432" t="s">
        <v>151</v>
      </c>
      <c r="C78" s="413">
        <f>(C70+C71)/C69</f>
        <v>0.8978805394990366</v>
      </c>
      <c r="D78" s="413">
        <f aca="true" t="shared" si="28" ref="D78:N78">(D70+C71)/D69</f>
        <v>0.75</v>
      </c>
      <c r="E78" s="413">
        <f t="shared" si="28"/>
        <v>0.8455284552845529</v>
      </c>
      <c r="F78" s="413">
        <f t="shared" si="28"/>
        <v>0.8837209302325582</v>
      </c>
      <c r="G78" s="413">
        <f t="shared" si="28"/>
        <v>0.8375</v>
      </c>
      <c r="H78" s="413" t="e">
        <f t="shared" si="28"/>
        <v>#DIV/0!</v>
      </c>
      <c r="I78" s="413">
        <f t="shared" si="28"/>
        <v>0.9823943661971831</v>
      </c>
      <c r="J78" s="413">
        <f t="shared" si="28"/>
        <v>0.875</v>
      </c>
      <c r="K78" s="413" t="e">
        <f t="shared" si="28"/>
        <v>#DIV/0!</v>
      </c>
      <c r="L78" s="413" t="e">
        <f t="shared" si="28"/>
        <v>#DIV/0!</v>
      </c>
      <c r="M78" s="413" t="e">
        <f t="shared" si="28"/>
        <v>#DIV/0!</v>
      </c>
      <c r="N78" s="413" t="e">
        <f t="shared" si="28"/>
        <v>#DIV/0!</v>
      </c>
    </row>
    <row r="79" ht="15" hidden="1"/>
    <row r="80" ht="15" hidden="1">
      <c r="B80" s="388" t="s">
        <v>731</v>
      </c>
    </row>
    <row r="81" spans="1:14" ht="15" customHeight="1" hidden="1">
      <c r="A81" s="1573" t="s">
        <v>68</v>
      </c>
      <c r="B81" s="1574"/>
      <c r="C81" s="1579" t="s">
        <v>37</v>
      </c>
      <c r="D81" s="1582" t="s">
        <v>335</v>
      </c>
      <c r="E81" s="1583"/>
      <c r="F81" s="1583"/>
      <c r="G81" s="1583"/>
      <c r="H81" s="1583"/>
      <c r="I81" s="1583"/>
      <c r="J81" s="1583"/>
      <c r="K81" s="1583"/>
      <c r="L81" s="1583"/>
      <c r="M81" s="1583"/>
      <c r="N81" s="1584"/>
    </row>
    <row r="82" spans="1:14" ht="15" customHeight="1" hidden="1">
      <c r="A82" s="1575"/>
      <c r="B82" s="1576"/>
      <c r="C82" s="1580"/>
      <c r="D82" s="1585" t="s">
        <v>119</v>
      </c>
      <c r="E82" s="1571" t="s">
        <v>120</v>
      </c>
      <c r="F82" s="1588"/>
      <c r="G82" s="1572"/>
      <c r="H82" s="1568" t="s">
        <v>121</v>
      </c>
      <c r="I82" s="1568" t="s">
        <v>122</v>
      </c>
      <c r="J82" s="1568" t="s">
        <v>123</v>
      </c>
      <c r="K82" s="1568" t="s">
        <v>124</v>
      </c>
      <c r="L82" s="1568" t="s">
        <v>125</v>
      </c>
      <c r="M82" s="1568" t="s">
        <v>126</v>
      </c>
      <c r="N82" s="1568" t="s">
        <v>127</v>
      </c>
    </row>
    <row r="83" spans="1:14" ht="15" hidden="1">
      <c r="A83" s="1575"/>
      <c r="B83" s="1576"/>
      <c r="C83" s="1580"/>
      <c r="D83" s="1586"/>
      <c r="E83" s="1568" t="s">
        <v>36</v>
      </c>
      <c r="F83" s="1571" t="s">
        <v>7</v>
      </c>
      <c r="G83" s="1572"/>
      <c r="H83" s="1569"/>
      <c r="I83" s="1569"/>
      <c r="J83" s="1569"/>
      <c r="K83" s="1569"/>
      <c r="L83" s="1569"/>
      <c r="M83" s="1569"/>
      <c r="N83" s="1569"/>
    </row>
    <row r="84" spans="1:14" ht="15" hidden="1">
      <c r="A84" s="1577"/>
      <c r="B84" s="1578"/>
      <c r="C84" s="1581"/>
      <c r="D84" s="1587"/>
      <c r="E84" s="1570"/>
      <c r="F84" s="559" t="s">
        <v>199</v>
      </c>
      <c r="G84" s="560" t="s">
        <v>200</v>
      </c>
      <c r="H84" s="1570"/>
      <c r="I84" s="1570"/>
      <c r="J84" s="1570"/>
      <c r="K84" s="1570"/>
      <c r="L84" s="1570"/>
      <c r="M84" s="1570"/>
      <c r="N84" s="1570"/>
    </row>
    <row r="85" spans="1:14" ht="15" hidden="1">
      <c r="A85" s="1566" t="s">
        <v>39</v>
      </c>
      <c r="B85" s="1567"/>
      <c r="C85" s="505">
        <v>1</v>
      </c>
      <c r="D85" s="505">
        <v>2</v>
      </c>
      <c r="E85" s="505">
        <v>3</v>
      </c>
      <c r="F85" s="505">
        <v>4</v>
      </c>
      <c r="G85" s="505">
        <v>5</v>
      </c>
      <c r="H85" s="505">
        <v>6</v>
      </c>
      <c r="I85" s="505">
        <v>7</v>
      </c>
      <c r="J85" s="505">
        <v>8</v>
      </c>
      <c r="K85" s="505">
        <v>9</v>
      </c>
      <c r="L85" s="505">
        <v>10</v>
      </c>
      <c r="M85" s="505">
        <v>11</v>
      </c>
      <c r="N85" s="505">
        <v>12</v>
      </c>
    </row>
    <row r="86" spans="1:14" ht="15" hidden="1">
      <c r="A86" s="506" t="s">
        <v>0</v>
      </c>
      <c r="B86" s="427" t="s">
        <v>130</v>
      </c>
      <c r="C86" s="791">
        <f aca="true" t="shared" si="29" ref="C86:C91">SUM(D86,E86,H86:N86)</f>
        <v>559</v>
      </c>
      <c r="D86" s="792">
        <f aca="true" t="shared" si="30" ref="D86:N86">SUM(D87:D88)</f>
        <v>49</v>
      </c>
      <c r="E86" s="792">
        <f t="shared" si="30"/>
        <v>199</v>
      </c>
      <c r="F86" s="792">
        <f t="shared" si="30"/>
        <v>28</v>
      </c>
      <c r="G86" s="792">
        <f t="shared" si="30"/>
        <v>171</v>
      </c>
      <c r="H86" s="792">
        <f t="shared" si="30"/>
        <v>0</v>
      </c>
      <c r="I86" s="792">
        <f t="shared" si="30"/>
        <v>144</v>
      </c>
      <c r="J86" s="792">
        <f t="shared" si="30"/>
        <v>0</v>
      </c>
      <c r="K86" s="792">
        <f t="shared" si="30"/>
        <v>0</v>
      </c>
      <c r="L86" s="792">
        <f t="shared" si="30"/>
        <v>0</v>
      </c>
      <c r="M86" s="792">
        <f t="shared" si="30"/>
        <v>0</v>
      </c>
      <c r="N86" s="792">
        <f t="shared" si="30"/>
        <v>167</v>
      </c>
    </row>
    <row r="87" spans="1:14" ht="15.75" hidden="1">
      <c r="A87" s="507">
        <v>1</v>
      </c>
      <c r="B87" s="429" t="s">
        <v>131</v>
      </c>
      <c r="C87" s="819">
        <f t="shared" si="29"/>
        <v>169</v>
      </c>
      <c r="D87" s="881">
        <v>29</v>
      </c>
      <c r="E87" s="793">
        <f>SUM(F87:G87)</f>
        <v>132</v>
      </c>
      <c r="F87" s="881">
        <v>16</v>
      </c>
      <c r="G87" s="881">
        <v>116</v>
      </c>
      <c r="H87" s="881">
        <v>0</v>
      </c>
      <c r="I87" s="881">
        <v>6</v>
      </c>
      <c r="J87" s="881">
        <v>0</v>
      </c>
      <c r="K87" s="881">
        <v>0</v>
      </c>
      <c r="L87" s="881">
        <v>0</v>
      </c>
      <c r="M87" s="881">
        <v>0</v>
      </c>
      <c r="N87" s="881">
        <v>2</v>
      </c>
    </row>
    <row r="88" spans="1:14" ht="15.75" hidden="1">
      <c r="A88" s="507">
        <v>2</v>
      </c>
      <c r="B88" s="429" t="s">
        <v>132</v>
      </c>
      <c r="C88" s="819">
        <f t="shared" si="29"/>
        <v>390</v>
      </c>
      <c r="D88" s="881">
        <v>20</v>
      </c>
      <c r="E88" s="793">
        <f>SUM(F88:G88)</f>
        <v>67</v>
      </c>
      <c r="F88" s="881">
        <v>12</v>
      </c>
      <c r="G88" s="881">
        <v>55</v>
      </c>
      <c r="H88" s="881">
        <v>0</v>
      </c>
      <c r="I88" s="881">
        <v>138</v>
      </c>
      <c r="J88" s="881">
        <v>0</v>
      </c>
      <c r="K88" s="881">
        <v>0</v>
      </c>
      <c r="L88" s="881">
        <v>0</v>
      </c>
      <c r="M88" s="881">
        <v>0</v>
      </c>
      <c r="N88" s="881">
        <v>165</v>
      </c>
    </row>
    <row r="89" spans="1:14" ht="15.75" hidden="1">
      <c r="A89" s="508" t="s">
        <v>1</v>
      </c>
      <c r="B89" s="394" t="s">
        <v>133</v>
      </c>
      <c r="C89" s="819">
        <f t="shared" si="29"/>
        <v>2</v>
      </c>
      <c r="D89" s="881">
        <v>0</v>
      </c>
      <c r="E89" s="793">
        <f>SUM(F89:G89)</f>
        <v>2</v>
      </c>
      <c r="F89" s="881">
        <v>0</v>
      </c>
      <c r="G89" s="881">
        <v>2</v>
      </c>
      <c r="H89" s="881">
        <v>0</v>
      </c>
      <c r="I89" s="881">
        <v>0</v>
      </c>
      <c r="J89" s="881">
        <v>0</v>
      </c>
      <c r="K89" s="881">
        <v>0</v>
      </c>
      <c r="L89" s="881">
        <v>0</v>
      </c>
      <c r="M89" s="881">
        <v>0</v>
      </c>
      <c r="N89" s="881">
        <v>0</v>
      </c>
    </row>
    <row r="90" spans="1:14" ht="15.75" hidden="1">
      <c r="A90" s="508" t="s">
        <v>9</v>
      </c>
      <c r="B90" s="394" t="s">
        <v>134</v>
      </c>
      <c r="C90" s="819">
        <f t="shared" si="29"/>
        <v>0</v>
      </c>
      <c r="D90" s="881">
        <v>0</v>
      </c>
      <c r="E90" s="793">
        <f>SUM(F90:G90)</f>
        <v>0</v>
      </c>
      <c r="F90" s="881">
        <v>0</v>
      </c>
      <c r="G90" s="881">
        <v>0</v>
      </c>
      <c r="H90" s="881">
        <v>0</v>
      </c>
      <c r="I90" s="881">
        <v>0</v>
      </c>
      <c r="J90" s="881">
        <v>0</v>
      </c>
      <c r="K90" s="881">
        <v>0</v>
      </c>
      <c r="L90" s="881">
        <v>0</v>
      </c>
      <c r="M90" s="881">
        <v>0</v>
      </c>
      <c r="N90" s="881">
        <v>0</v>
      </c>
    </row>
    <row r="91" spans="1:14" ht="15" hidden="1">
      <c r="A91" s="508" t="s">
        <v>135</v>
      </c>
      <c r="B91" s="394" t="s">
        <v>136</v>
      </c>
      <c r="C91" s="791">
        <f t="shared" si="29"/>
        <v>557</v>
      </c>
      <c r="D91" s="792">
        <f>D86-SUM(D89,D90)</f>
        <v>49</v>
      </c>
      <c r="E91" s="792">
        <f>E86-SUM(E89,E90)</f>
        <v>197</v>
      </c>
      <c r="F91" s="792">
        <f aca="true" t="shared" si="31" ref="F91:M91">F86-SUM(F89,F90)</f>
        <v>28</v>
      </c>
      <c r="G91" s="792">
        <f t="shared" si="31"/>
        <v>169</v>
      </c>
      <c r="H91" s="792">
        <f t="shared" si="31"/>
        <v>0</v>
      </c>
      <c r="I91" s="792">
        <f t="shared" si="31"/>
        <v>144</v>
      </c>
      <c r="J91" s="792">
        <f t="shared" si="31"/>
        <v>0</v>
      </c>
      <c r="K91" s="792">
        <f t="shared" si="31"/>
        <v>0</v>
      </c>
      <c r="L91" s="792">
        <f t="shared" si="31"/>
        <v>0</v>
      </c>
      <c r="M91" s="792">
        <f t="shared" si="31"/>
        <v>0</v>
      </c>
      <c r="N91" s="792">
        <f>N86-SUM(N89,N90)</f>
        <v>167</v>
      </c>
    </row>
    <row r="92" spans="1:14" ht="15" hidden="1">
      <c r="A92" s="508" t="s">
        <v>51</v>
      </c>
      <c r="B92" s="430" t="s">
        <v>137</v>
      </c>
      <c r="C92" s="791">
        <f>C93+C94+C95+C96+C97+C98+C99</f>
        <v>406</v>
      </c>
      <c r="D92" s="791">
        <f>D93+D94+D95+D96+D97+D98+D99</f>
        <v>24</v>
      </c>
      <c r="E92" s="791">
        <f>F92+G92</f>
        <v>78</v>
      </c>
      <c r="F92" s="791">
        <f aca="true" t="shared" si="32" ref="F92:M92">F93+F94+F95+F96+F97+F98+F99</f>
        <v>12</v>
      </c>
      <c r="G92" s="791">
        <f t="shared" si="32"/>
        <v>66</v>
      </c>
      <c r="H92" s="791">
        <f t="shared" si="32"/>
        <v>0</v>
      </c>
      <c r="I92" s="791">
        <f t="shared" si="32"/>
        <v>137</v>
      </c>
      <c r="J92" s="791">
        <f t="shared" si="32"/>
        <v>0</v>
      </c>
      <c r="K92" s="791">
        <f t="shared" si="32"/>
        <v>0</v>
      </c>
      <c r="L92" s="791">
        <f t="shared" si="32"/>
        <v>0</v>
      </c>
      <c r="M92" s="791">
        <f t="shared" si="32"/>
        <v>0</v>
      </c>
      <c r="N92" s="791">
        <f>N93+N94+N95+N96+N97+N98+N99</f>
        <v>167</v>
      </c>
    </row>
    <row r="93" spans="1:14" ht="15.75" hidden="1">
      <c r="A93" s="507" t="s">
        <v>53</v>
      </c>
      <c r="B93" s="429" t="s">
        <v>138</v>
      </c>
      <c r="C93" s="796">
        <f aca="true" t="shared" si="33" ref="C93:C99">SUM(D93,E93,H93:N93)</f>
        <v>372</v>
      </c>
      <c r="D93" s="881">
        <v>15</v>
      </c>
      <c r="E93" s="793">
        <f aca="true" t="shared" si="34" ref="E93:E99">SUM(F93:G93)</f>
        <v>64</v>
      </c>
      <c r="F93" s="881">
        <v>12</v>
      </c>
      <c r="G93" s="881">
        <v>52</v>
      </c>
      <c r="H93" s="881">
        <v>0</v>
      </c>
      <c r="I93" s="881">
        <v>133</v>
      </c>
      <c r="J93" s="881">
        <v>0</v>
      </c>
      <c r="K93" s="881">
        <v>0</v>
      </c>
      <c r="L93" s="881">
        <v>0</v>
      </c>
      <c r="M93" s="881">
        <v>0</v>
      </c>
      <c r="N93" s="881">
        <v>160</v>
      </c>
    </row>
    <row r="94" spans="1:14" ht="15.75" hidden="1">
      <c r="A94" s="507" t="s">
        <v>54</v>
      </c>
      <c r="B94" s="429" t="s">
        <v>139</v>
      </c>
      <c r="C94" s="796">
        <f t="shared" si="33"/>
        <v>9</v>
      </c>
      <c r="D94" s="881">
        <v>0</v>
      </c>
      <c r="E94" s="793">
        <f t="shared" si="34"/>
        <v>8</v>
      </c>
      <c r="F94" s="881">
        <v>0</v>
      </c>
      <c r="G94" s="881">
        <v>8</v>
      </c>
      <c r="H94" s="881">
        <v>0</v>
      </c>
      <c r="I94" s="881">
        <v>1</v>
      </c>
      <c r="J94" s="881">
        <v>0</v>
      </c>
      <c r="K94" s="881">
        <v>0</v>
      </c>
      <c r="L94" s="881">
        <v>0</v>
      </c>
      <c r="M94" s="881">
        <v>0</v>
      </c>
      <c r="N94" s="881">
        <v>0</v>
      </c>
    </row>
    <row r="95" spans="1:14" ht="15.75" hidden="1">
      <c r="A95" s="507" t="s">
        <v>140</v>
      </c>
      <c r="B95" s="429" t="s">
        <v>141</v>
      </c>
      <c r="C95" s="796">
        <f t="shared" si="33"/>
        <v>24</v>
      </c>
      <c r="D95" s="881">
        <v>9</v>
      </c>
      <c r="E95" s="793">
        <f t="shared" si="34"/>
        <v>6</v>
      </c>
      <c r="F95" s="881">
        <v>0</v>
      </c>
      <c r="G95" s="881">
        <v>6</v>
      </c>
      <c r="H95" s="881">
        <v>0</v>
      </c>
      <c r="I95" s="881">
        <v>3</v>
      </c>
      <c r="J95" s="881">
        <v>0</v>
      </c>
      <c r="K95" s="881">
        <v>0</v>
      </c>
      <c r="L95" s="881">
        <v>0</v>
      </c>
      <c r="M95" s="881">
        <v>0</v>
      </c>
      <c r="N95" s="881">
        <v>6</v>
      </c>
    </row>
    <row r="96" spans="1:14" ht="15.75" hidden="1">
      <c r="A96" s="507" t="s">
        <v>142</v>
      </c>
      <c r="B96" s="429" t="s">
        <v>143</v>
      </c>
      <c r="C96" s="797">
        <f t="shared" si="33"/>
        <v>0</v>
      </c>
      <c r="D96" s="881">
        <v>0</v>
      </c>
      <c r="E96" s="798">
        <f t="shared" si="34"/>
        <v>0</v>
      </c>
      <c r="F96" s="881">
        <v>0</v>
      </c>
      <c r="G96" s="881">
        <v>0</v>
      </c>
      <c r="H96" s="881">
        <v>0</v>
      </c>
      <c r="I96" s="881">
        <v>0</v>
      </c>
      <c r="J96" s="881">
        <v>0</v>
      </c>
      <c r="K96" s="881">
        <v>0</v>
      </c>
      <c r="L96" s="881">
        <v>0</v>
      </c>
      <c r="M96" s="881">
        <v>0</v>
      </c>
      <c r="N96" s="881">
        <v>0</v>
      </c>
    </row>
    <row r="97" spans="1:14" ht="15.75" hidden="1">
      <c r="A97" s="507" t="s">
        <v>144</v>
      </c>
      <c r="B97" s="429" t="s">
        <v>145</v>
      </c>
      <c r="C97" s="796">
        <f t="shared" si="33"/>
        <v>0</v>
      </c>
      <c r="D97" s="881">
        <v>0</v>
      </c>
      <c r="E97" s="793">
        <f t="shared" si="34"/>
        <v>0</v>
      </c>
      <c r="F97" s="881">
        <v>0</v>
      </c>
      <c r="G97" s="881">
        <v>0</v>
      </c>
      <c r="H97" s="881">
        <v>0</v>
      </c>
      <c r="I97" s="881">
        <v>0</v>
      </c>
      <c r="J97" s="881">
        <v>0</v>
      </c>
      <c r="K97" s="881">
        <v>0</v>
      </c>
      <c r="L97" s="881">
        <v>0</v>
      </c>
      <c r="M97" s="881">
        <v>0</v>
      </c>
      <c r="N97" s="881">
        <v>0</v>
      </c>
    </row>
    <row r="98" spans="1:14" ht="29.25" customHeight="1" hidden="1">
      <c r="A98" s="507" t="s">
        <v>146</v>
      </c>
      <c r="B98" s="431" t="s">
        <v>147</v>
      </c>
      <c r="C98" s="796">
        <f t="shared" si="33"/>
        <v>0</v>
      </c>
      <c r="D98" s="881">
        <v>0</v>
      </c>
      <c r="E98" s="793">
        <f t="shared" si="34"/>
        <v>0</v>
      </c>
      <c r="F98" s="881">
        <v>0</v>
      </c>
      <c r="G98" s="881">
        <v>0</v>
      </c>
      <c r="H98" s="881">
        <v>0</v>
      </c>
      <c r="I98" s="881">
        <v>0</v>
      </c>
      <c r="J98" s="881">
        <v>0</v>
      </c>
      <c r="K98" s="881">
        <v>0</v>
      </c>
      <c r="L98" s="881">
        <v>0</v>
      </c>
      <c r="M98" s="881">
        <v>0</v>
      </c>
      <c r="N98" s="881">
        <v>0</v>
      </c>
    </row>
    <row r="99" spans="1:14" ht="27.75" customHeight="1" hidden="1">
      <c r="A99" s="507" t="s">
        <v>148</v>
      </c>
      <c r="B99" s="429" t="s">
        <v>149</v>
      </c>
      <c r="C99" s="796">
        <f t="shared" si="33"/>
        <v>1</v>
      </c>
      <c r="D99" s="881">
        <v>0</v>
      </c>
      <c r="E99" s="793">
        <f t="shared" si="34"/>
        <v>0</v>
      </c>
      <c r="F99" s="881">
        <v>0</v>
      </c>
      <c r="G99" s="881">
        <v>0</v>
      </c>
      <c r="H99" s="881">
        <v>0</v>
      </c>
      <c r="I99" s="881">
        <v>0</v>
      </c>
      <c r="J99" s="881">
        <v>0</v>
      </c>
      <c r="K99" s="881">
        <v>0</v>
      </c>
      <c r="L99" s="881">
        <v>0</v>
      </c>
      <c r="M99" s="881">
        <v>0</v>
      </c>
      <c r="N99" s="881">
        <v>1</v>
      </c>
    </row>
    <row r="100" spans="1:14" ht="0.75" customHeight="1" hidden="1">
      <c r="A100" s="508" t="s">
        <v>52</v>
      </c>
      <c r="B100" s="394" t="s">
        <v>150</v>
      </c>
      <c r="C100" s="791">
        <f>SUM(D100,E100,H100:N100)</f>
        <v>151</v>
      </c>
      <c r="D100" s="791">
        <f>D91-D92</f>
        <v>25</v>
      </c>
      <c r="E100" s="792">
        <f>SUM(F100:G100)</f>
        <v>119</v>
      </c>
      <c r="F100" s="791">
        <f aca="true" t="shared" si="35" ref="F100:N100">F91-F92</f>
        <v>16</v>
      </c>
      <c r="G100" s="791">
        <f t="shared" si="35"/>
        <v>103</v>
      </c>
      <c r="H100" s="791">
        <f t="shared" si="35"/>
        <v>0</v>
      </c>
      <c r="I100" s="791">
        <f t="shared" si="35"/>
        <v>7</v>
      </c>
      <c r="J100" s="791">
        <f t="shared" si="35"/>
        <v>0</v>
      </c>
      <c r="K100" s="791">
        <f t="shared" si="35"/>
        <v>0</v>
      </c>
      <c r="L100" s="791">
        <f t="shared" si="35"/>
        <v>0</v>
      </c>
      <c r="M100" s="791">
        <f t="shared" si="35"/>
        <v>0</v>
      </c>
      <c r="N100" s="791">
        <f t="shared" si="35"/>
        <v>0</v>
      </c>
    </row>
    <row r="101" spans="1:14" ht="25.5" hidden="1">
      <c r="A101" s="508" t="s">
        <v>538</v>
      </c>
      <c r="B101" s="432" t="s">
        <v>151</v>
      </c>
      <c r="C101" s="413">
        <f>(C93+C94)/C92</f>
        <v>0.9384236453201971</v>
      </c>
      <c r="D101" s="413">
        <f aca="true" t="shared" si="36" ref="D101:N101">(D93+C94)/D92</f>
        <v>1</v>
      </c>
      <c r="E101" s="413">
        <f t="shared" si="36"/>
        <v>0.8205128205128205</v>
      </c>
      <c r="F101" s="413">
        <f t="shared" si="36"/>
        <v>1.6666666666666667</v>
      </c>
      <c r="G101" s="413">
        <f t="shared" si="36"/>
        <v>0.7878787878787878</v>
      </c>
      <c r="H101" s="413" t="e">
        <f t="shared" si="36"/>
        <v>#DIV/0!</v>
      </c>
      <c r="I101" s="413">
        <f t="shared" si="36"/>
        <v>0.9708029197080292</v>
      </c>
      <c r="J101" s="413" t="e">
        <f t="shared" si="36"/>
        <v>#DIV/0!</v>
      </c>
      <c r="K101" s="413" t="e">
        <f t="shared" si="36"/>
        <v>#DIV/0!</v>
      </c>
      <c r="L101" s="413" t="e">
        <f t="shared" si="36"/>
        <v>#DIV/0!</v>
      </c>
      <c r="M101" s="413" t="e">
        <f t="shared" si="36"/>
        <v>#DIV/0!</v>
      </c>
      <c r="N101" s="413">
        <f t="shared" si="36"/>
        <v>0.9580838323353293</v>
      </c>
    </row>
    <row r="102" ht="2.25" customHeight="1" hidden="1"/>
    <row r="103" ht="18.75" customHeight="1" hidden="1">
      <c r="B103" s="920" t="s">
        <v>732</v>
      </c>
    </row>
    <row r="104" spans="1:14" ht="15" customHeight="1" hidden="1">
      <c r="A104" s="1573" t="s">
        <v>68</v>
      </c>
      <c r="B104" s="1574"/>
      <c r="C104" s="1579" t="s">
        <v>37</v>
      </c>
      <c r="D104" s="1582" t="s">
        <v>335</v>
      </c>
      <c r="E104" s="1583"/>
      <c r="F104" s="1583"/>
      <c r="G104" s="1583"/>
      <c r="H104" s="1583"/>
      <c r="I104" s="1583"/>
      <c r="J104" s="1583"/>
      <c r="K104" s="1583"/>
      <c r="L104" s="1583"/>
      <c r="M104" s="1583"/>
      <c r="N104" s="1584"/>
    </row>
    <row r="105" spans="1:14" ht="15" customHeight="1" hidden="1">
      <c r="A105" s="1575"/>
      <c r="B105" s="1576"/>
      <c r="C105" s="1580"/>
      <c r="D105" s="1585" t="s">
        <v>119</v>
      </c>
      <c r="E105" s="1571" t="s">
        <v>120</v>
      </c>
      <c r="F105" s="1588"/>
      <c r="G105" s="1572"/>
      <c r="H105" s="1568" t="s">
        <v>121</v>
      </c>
      <c r="I105" s="1568" t="s">
        <v>122</v>
      </c>
      <c r="J105" s="1568" t="s">
        <v>123</v>
      </c>
      <c r="K105" s="1568" t="s">
        <v>124</v>
      </c>
      <c r="L105" s="1568" t="s">
        <v>125</v>
      </c>
      <c r="M105" s="1568" t="s">
        <v>126</v>
      </c>
      <c r="N105" s="1568" t="s">
        <v>127</v>
      </c>
    </row>
    <row r="106" spans="1:14" ht="18.75" customHeight="1" hidden="1">
      <c r="A106" s="1575"/>
      <c r="B106" s="1576"/>
      <c r="C106" s="1580"/>
      <c r="D106" s="1586"/>
      <c r="E106" s="1568" t="s">
        <v>36</v>
      </c>
      <c r="F106" s="1571" t="s">
        <v>7</v>
      </c>
      <c r="G106" s="1572"/>
      <c r="H106" s="1569"/>
      <c r="I106" s="1569"/>
      <c r="J106" s="1569"/>
      <c r="K106" s="1569"/>
      <c r="L106" s="1569"/>
      <c r="M106" s="1569"/>
      <c r="N106" s="1569"/>
    </row>
    <row r="107" spans="1:14" ht="15" hidden="1">
      <c r="A107" s="1577"/>
      <c r="B107" s="1578"/>
      <c r="C107" s="1581"/>
      <c r="D107" s="1587"/>
      <c r="E107" s="1570"/>
      <c r="F107" s="559" t="s">
        <v>199</v>
      </c>
      <c r="G107" s="560" t="s">
        <v>200</v>
      </c>
      <c r="H107" s="1570"/>
      <c r="I107" s="1570"/>
      <c r="J107" s="1570"/>
      <c r="K107" s="1570"/>
      <c r="L107" s="1570"/>
      <c r="M107" s="1570"/>
      <c r="N107" s="1570"/>
    </row>
    <row r="108" spans="1:14" ht="15" hidden="1">
      <c r="A108" s="1566" t="s">
        <v>39</v>
      </c>
      <c r="B108" s="1567"/>
      <c r="C108" s="505">
        <v>1</v>
      </c>
      <c r="D108" s="505">
        <v>2</v>
      </c>
      <c r="E108" s="505">
        <v>3</v>
      </c>
      <c r="F108" s="505">
        <v>4</v>
      </c>
      <c r="G108" s="505">
        <v>5</v>
      </c>
      <c r="H108" s="505">
        <v>6</v>
      </c>
      <c r="I108" s="505">
        <v>7</v>
      </c>
      <c r="J108" s="505">
        <v>8</v>
      </c>
      <c r="K108" s="505">
        <v>9</v>
      </c>
      <c r="L108" s="505">
        <v>10</v>
      </c>
      <c r="M108" s="505">
        <v>11</v>
      </c>
      <c r="N108" s="505">
        <v>12</v>
      </c>
    </row>
    <row r="109" spans="1:14" ht="15" hidden="1">
      <c r="A109" s="506" t="s">
        <v>0</v>
      </c>
      <c r="B109" s="427" t="s">
        <v>130</v>
      </c>
      <c r="C109" s="791">
        <f aca="true" t="shared" si="37" ref="C109:C114">SUM(D109,E109,H109:N109)</f>
        <v>829</v>
      </c>
      <c r="D109" s="792">
        <f aca="true" t="shared" si="38" ref="D109:N109">SUM(D110:D111)</f>
        <v>90</v>
      </c>
      <c r="E109" s="792">
        <f t="shared" si="38"/>
        <v>403</v>
      </c>
      <c r="F109" s="792">
        <f t="shared" si="38"/>
        <v>25</v>
      </c>
      <c r="G109" s="792">
        <f t="shared" si="38"/>
        <v>378</v>
      </c>
      <c r="H109" s="792">
        <f t="shared" si="38"/>
        <v>0</v>
      </c>
      <c r="I109" s="792">
        <f t="shared" si="38"/>
        <v>336</v>
      </c>
      <c r="J109" s="792">
        <f t="shared" si="38"/>
        <v>0</v>
      </c>
      <c r="K109" s="792">
        <f t="shared" si="38"/>
        <v>0</v>
      </c>
      <c r="L109" s="792">
        <f t="shared" si="38"/>
        <v>0</v>
      </c>
      <c r="M109" s="792">
        <f t="shared" si="38"/>
        <v>0</v>
      </c>
      <c r="N109" s="792">
        <f t="shared" si="38"/>
        <v>0</v>
      </c>
    </row>
    <row r="110" spans="1:14" ht="15" hidden="1">
      <c r="A110" s="507">
        <v>1</v>
      </c>
      <c r="B110" s="429" t="s">
        <v>131</v>
      </c>
      <c r="C110" s="819">
        <f t="shared" si="37"/>
        <v>326</v>
      </c>
      <c r="D110" s="820">
        <v>33</v>
      </c>
      <c r="E110" s="793">
        <f>SUM(F110:G110)</f>
        <v>276</v>
      </c>
      <c r="F110" s="406">
        <v>17</v>
      </c>
      <c r="G110" s="406">
        <v>259</v>
      </c>
      <c r="H110" s="406">
        <v>0</v>
      </c>
      <c r="I110" s="406">
        <v>17</v>
      </c>
      <c r="J110" s="406">
        <v>0</v>
      </c>
      <c r="K110" s="406">
        <v>0</v>
      </c>
      <c r="L110" s="406">
        <v>0</v>
      </c>
      <c r="M110" s="406">
        <v>0</v>
      </c>
      <c r="N110" s="406">
        <v>0</v>
      </c>
    </row>
    <row r="111" spans="1:14" ht="15" hidden="1">
      <c r="A111" s="507">
        <v>2</v>
      </c>
      <c r="B111" s="429" t="s">
        <v>132</v>
      </c>
      <c r="C111" s="819">
        <f t="shared" si="37"/>
        <v>503</v>
      </c>
      <c r="D111" s="820">
        <v>57</v>
      </c>
      <c r="E111" s="793">
        <f>SUM(F111:G111)</f>
        <v>127</v>
      </c>
      <c r="F111" s="406">
        <v>8</v>
      </c>
      <c r="G111" s="406">
        <v>119</v>
      </c>
      <c r="H111" s="406">
        <v>0</v>
      </c>
      <c r="I111" s="406">
        <v>319</v>
      </c>
      <c r="J111" s="406">
        <v>0</v>
      </c>
      <c r="K111" s="406">
        <v>0</v>
      </c>
      <c r="L111" s="406">
        <v>0</v>
      </c>
      <c r="M111" s="406">
        <v>0</v>
      </c>
      <c r="N111" s="406">
        <v>0</v>
      </c>
    </row>
    <row r="112" spans="1:14" ht="15.75" hidden="1">
      <c r="A112" s="508" t="s">
        <v>1</v>
      </c>
      <c r="B112" s="394" t="s">
        <v>133</v>
      </c>
      <c r="C112" s="819">
        <f t="shared" si="37"/>
        <v>0</v>
      </c>
      <c r="D112" s="881"/>
      <c r="E112" s="793">
        <f>SUM(F112:G112)</f>
        <v>0</v>
      </c>
      <c r="F112" s="881"/>
      <c r="G112" s="881"/>
      <c r="H112" s="881"/>
      <c r="I112" s="881"/>
      <c r="J112" s="881"/>
      <c r="K112" s="881"/>
      <c r="L112" s="881"/>
      <c r="M112" s="881"/>
      <c r="N112" s="881"/>
    </row>
    <row r="113" spans="1:14" ht="15.75" hidden="1">
      <c r="A113" s="508" t="s">
        <v>9</v>
      </c>
      <c r="B113" s="394" t="s">
        <v>134</v>
      </c>
      <c r="C113" s="819">
        <f t="shared" si="37"/>
        <v>0</v>
      </c>
      <c r="D113" s="881">
        <v>0</v>
      </c>
      <c r="E113" s="793">
        <f>SUM(F113:G113)</f>
        <v>0</v>
      </c>
      <c r="F113" s="881">
        <v>0</v>
      </c>
      <c r="G113" s="881">
        <v>0</v>
      </c>
      <c r="H113" s="881">
        <v>0</v>
      </c>
      <c r="I113" s="881">
        <v>0</v>
      </c>
      <c r="J113" s="881">
        <v>0</v>
      </c>
      <c r="K113" s="881">
        <v>0</v>
      </c>
      <c r="L113" s="881">
        <v>0</v>
      </c>
      <c r="M113" s="881">
        <v>0</v>
      </c>
      <c r="N113" s="881">
        <v>0</v>
      </c>
    </row>
    <row r="114" spans="1:14" ht="15" hidden="1">
      <c r="A114" s="508" t="s">
        <v>135</v>
      </c>
      <c r="B114" s="394" t="s">
        <v>136</v>
      </c>
      <c r="C114" s="791">
        <f t="shared" si="37"/>
        <v>829</v>
      </c>
      <c r="D114" s="792">
        <f>D109-SUM(D112,D113)</f>
        <v>90</v>
      </c>
      <c r="E114" s="792">
        <f>E109-SUM(E112,E113)</f>
        <v>403</v>
      </c>
      <c r="F114" s="792">
        <f aca="true" t="shared" si="39" ref="F114:M114">F109-SUM(F112,F113)</f>
        <v>25</v>
      </c>
      <c r="G114" s="792">
        <f t="shared" si="39"/>
        <v>378</v>
      </c>
      <c r="H114" s="792">
        <f t="shared" si="39"/>
        <v>0</v>
      </c>
      <c r="I114" s="792">
        <f t="shared" si="39"/>
        <v>336</v>
      </c>
      <c r="J114" s="792">
        <f t="shared" si="39"/>
        <v>0</v>
      </c>
      <c r="K114" s="792">
        <f t="shared" si="39"/>
        <v>0</v>
      </c>
      <c r="L114" s="792">
        <f t="shared" si="39"/>
        <v>0</v>
      </c>
      <c r="M114" s="792">
        <f t="shared" si="39"/>
        <v>0</v>
      </c>
      <c r="N114" s="792">
        <f>N109-SUM(N112,N113)</f>
        <v>0</v>
      </c>
    </row>
    <row r="115" spans="1:14" ht="15" hidden="1">
      <c r="A115" s="508" t="s">
        <v>51</v>
      </c>
      <c r="B115" s="430" t="s">
        <v>137</v>
      </c>
      <c r="C115" s="791">
        <f>C116+C117+C118+C119+C120+C121+C122</f>
        <v>574</v>
      </c>
      <c r="D115" s="791">
        <f>D116+D117+D118+D119+D120+D121+D122</f>
        <v>74</v>
      </c>
      <c r="E115" s="791">
        <f>F115+G115</f>
        <v>171</v>
      </c>
      <c r="F115" s="791">
        <f aca="true" t="shared" si="40" ref="F115:M115">F116+F117+F118+F119+F120+F121+F122</f>
        <v>11</v>
      </c>
      <c r="G115" s="791">
        <f t="shared" si="40"/>
        <v>160</v>
      </c>
      <c r="H115" s="791">
        <f t="shared" si="40"/>
        <v>0</v>
      </c>
      <c r="I115" s="791">
        <f t="shared" si="40"/>
        <v>329</v>
      </c>
      <c r="J115" s="791">
        <f t="shared" si="40"/>
        <v>0</v>
      </c>
      <c r="K115" s="791">
        <f t="shared" si="40"/>
        <v>0</v>
      </c>
      <c r="L115" s="791">
        <f t="shared" si="40"/>
        <v>0</v>
      </c>
      <c r="M115" s="791">
        <f t="shared" si="40"/>
        <v>0</v>
      </c>
      <c r="N115" s="791">
        <f>N116+N117+N118+N119+N120+N121+N122</f>
        <v>0</v>
      </c>
    </row>
    <row r="116" spans="1:14" ht="15.75" hidden="1">
      <c r="A116" s="507" t="s">
        <v>53</v>
      </c>
      <c r="B116" s="429" t="s">
        <v>138</v>
      </c>
      <c r="C116" s="796">
        <f aca="true" t="shared" si="41" ref="C116:C122">SUM(D116,E116,H116:N116)</f>
        <v>510</v>
      </c>
      <c r="D116" s="820">
        <v>54</v>
      </c>
      <c r="E116" s="1116">
        <f aca="true" t="shared" si="42" ref="E116:E122">SUM(F116:G116)</f>
        <v>136</v>
      </c>
      <c r="F116" s="406">
        <v>7</v>
      </c>
      <c r="G116" s="406">
        <v>129</v>
      </c>
      <c r="H116" s="406">
        <v>0</v>
      </c>
      <c r="I116" s="406">
        <v>320</v>
      </c>
      <c r="J116" s="406">
        <v>0</v>
      </c>
      <c r="K116" s="406"/>
      <c r="L116" s="406"/>
      <c r="M116" s="881"/>
      <c r="N116" s="881"/>
    </row>
    <row r="117" spans="1:14" ht="15.75" hidden="1">
      <c r="A117" s="507" t="s">
        <v>54</v>
      </c>
      <c r="B117" s="429" t="s">
        <v>139</v>
      </c>
      <c r="C117" s="796">
        <f t="shared" si="41"/>
        <v>7</v>
      </c>
      <c r="D117" s="820">
        <v>0</v>
      </c>
      <c r="E117" s="793">
        <f t="shared" si="42"/>
        <v>7</v>
      </c>
      <c r="F117" s="406">
        <v>0</v>
      </c>
      <c r="G117" s="406">
        <v>7</v>
      </c>
      <c r="H117" s="406">
        <v>0</v>
      </c>
      <c r="I117" s="406">
        <v>0</v>
      </c>
      <c r="J117" s="406">
        <v>0</v>
      </c>
      <c r="K117" s="406"/>
      <c r="L117" s="406"/>
      <c r="M117" s="881"/>
      <c r="N117" s="881"/>
    </row>
    <row r="118" spans="1:14" ht="17.25" customHeight="1" hidden="1">
      <c r="A118" s="507" t="s">
        <v>140</v>
      </c>
      <c r="B118" s="429" t="s">
        <v>141</v>
      </c>
      <c r="C118" s="796">
        <f t="shared" si="41"/>
        <v>46</v>
      </c>
      <c r="D118" s="820">
        <v>15</v>
      </c>
      <c r="E118" s="793">
        <f t="shared" si="42"/>
        <v>22</v>
      </c>
      <c r="F118" s="406">
        <v>4</v>
      </c>
      <c r="G118" s="406">
        <v>18</v>
      </c>
      <c r="H118" s="406">
        <v>0</v>
      </c>
      <c r="I118" s="406">
        <v>9</v>
      </c>
      <c r="J118" s="406">
        <v>0</v>
      </c>
      <c r="K118" s="406"/>
      <c r="L118" s="406"/>
      <c r="M118" s="881"/>
      <c r="N118" s="881"/>
    </row>
    <row r="119" spans="1:14" ht="15.75" hidden="1">
      <c r="A119" s="507" t="s">
        <v>142</v>
      </c>
      <c r="B119" s="429" t="s">
        <v>143</v>
      </c>
      <c r="C119" s="797">
        <f t="shared" si="41"/>
        <v>4</v>
      </c>
      <c r="D119" s="820">
        <v>4</v>
      </c>
      <c r="E119" s="798">
        <f t="shared" si="42"/>
        <v>0</v>
      </c>
      <c r="F119" s="406">
        <v>0</v>
      </c>
      <c r="G119" s="406">
        <v>0</v>
      </c>
      <c r="H119" s="406">
        <v>0</v>
      </c>
      <c r="I119" s="406">
        <v>0</v>
      </c>
      <c r="J119" s="406">
        <v>0</v>
      </c>
      <c r="K119" s="406"/>
      <c r="L119" s="406"/>
      <c r="M119" s="881"/>
      <c r="N119" s="881"/>
    </row>
    <row r="120" spans="1:14" ht="15.75" hidden="1">
      <c r="A120" s="507" t="s">
        <v>144</v>
      </c>
      <c r="B120" s="429" t="s">
        <v>145</v>
      </c>
      <c r="C120" s="796">
        <f t="shared" si="41"/>
        <v>0</v>
      </c>
      <c r="D120" s="820">
        <v>0</v>
      </c>
      <c r="E120" s="793">
        <f t="shared" si="42"/>
        <v>0</v>
      </c>
      <c r="F120" s="406">
        <v>0</v>
      </c>
      <c r="G120" s="406">
        <v>0</v>
      </c>
      <c r="H120" s="406">
        <v>0</v>
      </c>
      <c r="I120" s="406">
        <v>0</v>
      </c>
      <c r="J120" s="406">
        <v>0</v>
      </c>
      <c r="K120" s="406"/>
      <c r="L120" s="406"/>
      <c r="M120" s="881"/>
      <c r="N120" s="881"/>
    </row>
    <row r="121" spans="1:14" ht="25.5" hidden="1">
      <c r="A121" s="507" t="s">
        <v>146</v>
      </c>
      <c r="B121" s="431" t="s">
        <v>147</v>
      </c>
      <c r="C121" s="796">
        <f t="shared" si="41"/>
        <v>0</v>
      </c>
      <c r="D121" s="820">
        <v>0</v>
      </c>
      <c r="E121" s="793">
        <f t="shared" si="42"/>
        <v>0</v>
      </c>
      <c r="F121" s="406">
        <v>0</v>
      </c>
      <c r="G121" s="406">
        <v>0</v>
      </c>
      <c r="H121" s="406">
        <v>0</v>
      </c>
      <c r="I121" s="406">
        <v>0</v>
      </c>
      <c r="J121" s="406">
        <v>0</v>
      </c>
      <c r="K121" s="406"/>
      <c r="L121" s="406"/>
      <c r="M121" s="881"/>
      <c r="N121" s="881"/>
    </row>
    <row r="122" spans="1:14" ht="15.75" hidden="1">
      <c r="A122" s="507" t="s">
        <v>148</v>
      </c>
      <c r="B122" s="429" t="s">
        <v>149</v>
      </c>
      <c r="C122" s="796">
        <f t="shared" si="41"/>
        <v>7</v>
      </c>
      <c r="D122" s="820">
        <v>1</v>
      </c>
      <c r="E122" s="793">
        <f t="shared" si="42"/>
        <v>6</v>
      </c>
      <c r="F122" s="406">
        <v>0</v>
      </c>
      <c r="G122" s="406">
        <v>6</v>
      </c>
      <c r="H122" s="406">
        <v>0</v>
      </c>
      <c r="I122" s="406">
        <v>0</v>
      </c>
      <c r="J122" s="406">
        <v>0</v>
      </c>
      <c r="K122" s="406"/>
      <c r="L122" s="406"/>
      <c r="M122" s="881"/>
      <c r="N122" s="881"/>
    </row>
    <row r="123" spans="1:14" ht="20.25" customHeight="1" hidden="1">
      <c r="A123" s="508" t="s">
        <v>52</v>
      </c>
      <c r="B123" s="394" t="s">
        <v>150</v>
      </c>
      <c r="C123" s="791">
        <f>SUM(D123,E123,H123:N123)</f>
        <v>255</v>
      </c>
      <c r="D123" s="791">
        <f>D114-D115</f>
        <v>16</v>
      </c>
      <c r="E123" s="792">
        <f>SUM(F123:G123)</f>
        <v>232</v>
      </c>
      <c r="F123" s="791">
        <f aca="true" t="shared" si="43" ref="F123:N123">F114-F115</f>
        <v>14</v>
      </c>
      <c r="G123" s="791">
        <f t="shared" si="43"/>
        <v>218</v>
      </c>
      <c r="H123" s="791">
        <f t="shared" si="43"/>
        <v>0</v>
      </c>
      <c r="I123" s="791">
        <f t="shared" si="43"/>
        <v>7</v>
      </c>
      <c r="J123" s="791">
        <f t="shared" si="43"/>
        <v>0</v>
      </c>
      <c r="K123" s="791">
        <f t="shared" si="43"/>
        <v>0</v>
      </c>
      <c r="L123" s="791">
        <f t="shared" si="43"/>
        <v>0</v>
      </c>
      <c r="M123" s="791">
        <f t="shared" si="43"/>
        <v>0</v>
      </c>
      <c r="N123" s="791">
        <f t="shared" si="43"/>
        <v>0</v>
      </c>
    </row>
    <row r="124" spans="1:14" ht="21.75" customHeight="1" hidden="1">
      <c r="A124" s="508" t="s">
        <v>538</v>
      </c>
      <c r="B124" s="432" t="s">
        <v>151</v>
      </c>
      <c r="C124" s="413">
        <f>(C116+C117)/C115</f>
        <v>0.9006968641114983</v>
      </c>
      <c r="D124" s="413">
        <f aca="true" t="shared" si="44" ref="D124:N124">(D116+C117)/D115</f>
        <v>0.8243243243243243</v>
      </c>
      <c r="E124" s="413">
        <f t="shared" si="44"/>
        <v>0.7953216374269005</v>
      </c>
      <c r="F124" s="413">
        <f t="shared" si="44"/>
        <v>1.2727272727272727</v>
      </c>
      <c r="G124" s="413">
        <f t="shared" si="44"/>
        <v>0.80625</v>
      </c>
      <c r="H124" s="413" t="e">
        <f t="shared" si="44"/>
        <v>#DIV/0!</v>
      </c>
      <c r="I124" s="413">
        <f t="shared" si="44"/>
        <v>0.9726443768996961</v>
      </c>
      <c r="J124" s="413" t="e">
        <f t="shared" si="44"/>
        <v>#DIV/0!</v>
      </c>
      <c r="K124" s="413" t="e">
        <f t="shared" si="44"/>
        <v>#DIV/0!</v>
      </c>
      <c r="L124" s="413" t="e">
        <f t="shared" si="44"/>
        <v>#DIV/0!</v>
      </c>
      <c r="M124" s="413" t="e">
        <f t="shared" si="44"/>
        <v>#DIV/0!</v>
      </c>
      <c r="N124" s="413" t="e">
        <f t="shared" si="44"/>
        <v>#DIV/0!</v>
      </c>
    </row>
    <row r="125" ht="1.5" customHeight="1" hidden="1"/>
    <row r="126" ht="15" hidden="1">
      <c r="B126" s="388" t="s">
        <v>733</v>
      </c>
    </row>
    <row r="127" spans="1:14" ht="15" customHeight="1" hidden="1">
      <c r="A127" s="1573" t="s">
        <v>68</v>
      </c>
      <c r="B127" s="1574"/>
      <c r="C127" s="1579" t="s">
        <v>37</v>
      </c>
      <c r="D127" s="1582" t="s">
        <v>335</v>
      </c>
      <c r="E127" s="1583"/>
      <c r="F127" s="1583"/>
      <c r="G127" s="1583"/>
      <c r="H127" s="1583"/>
      <c r="I127" s="1583"/>
      <c r="J127" s="1583"/>
      <c r="K127" s="1583"/>
      <c r="L127" s="1583"/>
      <c r="M127" s="1583"/>
      <c r="N127" s="1584"/>
    </row>
    <row r="128" spans="1:14" ht="15" customHeight="1" hidden="1">
      <c r="A128" s="1575"/>
      <c r="B128" s="1576"/>
      <c r="C128" s="1580"/>
      <c r="D128" s="1585" t="s">
        <v>119</v>
      </c>
      <c r="E128" s="1571" t="s">
        <v>120</v>
      </c>
      <c r="F128" s="1588"/>
      <c r="G128" s="1572"/>
      <c r="H128" s="1568" t="s">
        <v>121</v>
      </c>
      <c r="I128" s="1568" t="s">
        <v>122</v>
      </c>
      <c r="J128" s="1568" t="s">
        <v>123</v>
      </c>
      <c r="K128" s="1568" t="s">
        <v>124</v>
      </c>
      <c r="L128" s="1568" t="s">
        <v>125</v>
      </c>
      <c r="M128" s="1568" t="s">
        <v>126</v>
      </c>
      <c r="N128" s="1568" t="s">
        <v>127</v>
      </c>
    </row>
    <row r="129" spans="1:14" ht="15" hidden="1">
      <c r="A129" s="1575"/>
      <c r="B129" s="1576"/>
      <c r="C129" s="1580"/>
      <c r="D129" s="1586"/>
      <c r="E129" s="1568" t="s">
        <v>36</v>
      </c>
      <c r="F129" s="1571" t="s">
        <v>7</v>
      </c>
      <c r="G129" s="1572"/>
      <c r="H129" s="1569"/>
      <c r="I129" s="1569"/>
      <c r="J129" s="1569"/>
      <c r="K129" s="1569"/>
      <c r="L129" s="1569"/>
      <c r="M129" s="1569"/>
      <c r="N129" s="1569"/>
    </row>
    <row r="130" spans="1:14" ht="15" hidden="1">
      <c r="A130" s="1577"/>
      <c r="B130" s="1578"/>
      <c r="C130" s="1581"/>
      <c r="D130" s="1587"/>
      <c r="E130" s="1570"/>
      <c r="F130" s="559" t="s">
        <v>199</v>
      </c>
      <c r="G130" s="560" t="s">
        <v>200</v>
      </c>
      <c r="H130" s="1570"/>
      <c r="I130" s="1570"/>
      <c r="J130" s="1570"/>
      <c r="K130" s="1570"/>
      <c r="L130" s="1570"/>
      <c r="M130" s="1570"/>
      <c r="N130" s="1570"/>
    </row>
    <row r="131" spans="1:14" ht="15" hidden="1">
      <c r="A131" s="1566" t="s">
        <v>39</v>
      </c>
      <c r="B131" s="1567"/>
      <c r="C131" s="505">
        <v>1</v>
      </c>
      <c r="D131" s="505">
        <v>2</v>
      </c>
      <c r="E131" s="505">
        <v>3</v>
      </c>
      <c r="F131" s="505">
        <v>4</v>
      </c>
      <c r="G131" s="505">
        <v>5</v>
      </c>
      <c r="H131" s="505">
        <v>6</v>
      </c>
      <c r="I131" s="505">
        <v>7</v>
      </c>
      <c r="J131" s="505">
        <v>8</v>
      </c>
      <c r="K131" s="505">
        <v>9</v>
      </c>
      <c r="L131" s="505">
        <v>10</v>
      </c>
      <c r="M131" s="505">
        <v>11</v>
      </c>
      <c r="N131" s="505">
        <v>12</v>
      </c>
    </row>
    <row r="132" spans="1:14" ht="15" hidden="1">
      <c r="A132" s="506" t="s">
        <v>0</v>
      </c>
      <c r="B132" s="427" t="s">
        <v>130</v>
      </c>
      <c r="C132" s="791">
        <f aca="true" t="shared" si="45" ref="C132:C137">SUM(D132,E132,H132:N132)</f>
        <v>378</v>
      </c>
      <c r="D132" s="792">
        <f aca="true" t="shared" si="46" ref="D132:N132">SUM(D133:D134)</f>
        <v>45</v>
      </c>
      <c r="E132" s="792">
        <f t="shared" si="46"/>
        <v>153</v>
      </c>
      <c r="F132" s="792">
        <f t="shared" si="46"/>
        <v>16</v>
      </c>
      <c r="G132" s="792">
        <f t="shared" si="46"/>
        <v>137</v>
      </c>
      <c r="H132" s="792">
        <f t="shared" si="46"/>
        <v>0</v>
      </c>
      <c r="I132" s="792">
        <f t="shared" si="46"/>
        <v>180</v>
      </c>
      <c r="J132" s="792">
        <f t="shared" si="46"/>
        <v>0</v>
      </c>
      <c r="K132" s="792">
        <f t="shared" si="46"/>
        <v>0</v>
      </c>
      <c r="L132" s="792">
        <f t="shared" si="46"/>
        <v>0</v>
      </c>
      <c r="M132" s="792">
        <f t="shared" si="46"/>
        <v>0</v>
      </c>
      <c r="N132" s="792">
        <f t="shared" si="46"/>
        <v>0</v>
      </c>
    </row>
    <row r="133" spans="1:14" ht="15" hidden="1">
      <c r="A133" s="507">
        <v>1</v>
      </c>
      <c r="B133" s="429" t="s">
        <v>131</v>
      </c>
      <c r="C133" s="819">
        <f t="shared" si="45"/>
        <v>81</v>
      </c>
      <c r="D133" s="870">
        <v>8</v>
      </c>
      <c r="E133" s="793">
        <f>SUM(F133:G133)</f>
        <v>70</v>
      </c>
      <c r="F133" s="870">
        <v>4</v>
      </c>
      <c r="G133" s="870">
        <v>66</v>
      </c>
      <c r="H133" s="870"/>
      <c r="I133" s="870">
        <v>3</v>
      </c>
      <c r="J133" s="870"/>
      <c r="K133" s="870"/>
      <c r="L133" s="870"/>
      <c r="M133" s="870"/>
      <c r="N133" s="872"/>
    </row>
    <row r="134" spans="1:14" ht="15" hidden="1">
      <c r="A134" s="507">
        <v>2</v>
      </c>
      <c r="B134" s="429" t="s">
        <v>132</v>
      </c>
      <c r="C134" s="819">
        <f t="shared" si="45"/>
        <v>297</v>
      </c>
      <c r="D134" s="870">
        <v>37</v>
      </c>
      <c r="E134" s="793">
        <f>SUM(F134:G134)</f>
        <v>83</v>
      </c>
      <c r="F134" s="870">
        <v>12</v>
      </c>
      <c r="G134" s="870">
        <v>71</v>
      </c>
      <c r="H134" s="870"/>
      <c r="I134" s="871">
        <v>177</v>
      </c>
      <c r="J134" s="871">
        <v>0</v>
      </c>
      <c r="K134" s="871"/>
      <c r="L134" s="870"/>
      <c r="M134" s="870"/>
      <c r="N134" s="872"/>
    </row>
    <row r="135" spans="1:14" ht="15" hidden="1">
      <c r="A135" s="508" t="s">
        <v>1</v>
      </c>
      <c r="B135" s="394" t="s">
        <v>133</v>
      </c>
      <c r="C135" s="819">
        <f t="shared" si="45"/>
        <v>3</v>
      </c>
      <c r="D135" s="871"/>
      <c r="E135" s="793">
        <f>SUM(F135:G135)</f>
        <v>3</v>
      </c>
      <c r="F135" s="871"/>
      <c r="G135" s="871">
        <v>3</v>
      </c>
      <c r="H135" s="871"/>
      <c r="I135" s="871"/>
      <c r="J135" s="871"/>
      <c r="K135" s="871"/>
      <c r="L135" s="871"/>
      <c r="M135" s="871"/>
      <c r="N135" s="872"/>
    </row>
    <row r="136" spans="1:14" ht="15" hidden="1">
      <c r="A136" s="508" t="s">
        <v>9</v>
      </c>
      <c r="B136" s="394" t="s">
        <v>134</v>
      </c>
      <c r="C136" s="819">
        <f t="shared" si="45"/>
        <v>0</v>
      </c>
      <c r="D136" s="871"/>
      <c r="E136" s="793">
        <f>SUM(F136:G136)</f>
        <v>0</v>
      </c>
      <c r="F136" s="820"/>
      <c r="G136" s="820"/>
      <c r="H136" s="820"/>
      <c r="I136" s="820"/>
      <c r="J136" s="820"/>
      <c r="K136" s="820"/>
      <c r="L136" s="820"/>
      <c r="M136" s="820"/>
      <c r="N136" s="820"/>
    </row>
    <row r="137" spans="1:14" ht="15" hidden="1">
      <c r="A137" s="508" t="s">
        <v>135</v>
      </c>
      <c r="B137" s="394" t="s">
        <v>136</v>
      </c>
      <c r="C137" s="791">
        <f t="shared" si="45"/>
        <v>375</v>
      </c>
      <c r="D137" s="792">
        <f>D132-SUM(D135,D136)</f>
        <v>45</v>
      </c>
      <c r="E137" s="792">
        <f>E132-SUM(E135,E136)</f>
        <v>150</v>
      </c>
      <c r="F137" s="792">
        <f aca="true" t="shared" si="47" ref="F137:M137">F132-SUM(F135,F136)</f>
        <v>16</v>
      </c>
      <c r="G137" s="792">
        <f t="shared" si="47"/>
        <v>134</v>
      </c>
      <c r="H137" s="792">
        <f t="shared" si="47"/>
        <v>0</v>
      </c>
      <c r="I137" s="792">
        <f t="shared" si="47"/>
        <v>180</v>
      </c>
      <c r="J137" s="792">
        <f t="shared" si="47"/>
        <v>0</v>
      </c>
      <c r="K137" s="792">
        <f t="shared" si="47"/>
        <v>0</v>
      </c>
      <c r="L137" s="792">
        <f t="shared" si="47"/>
        <v>0</v>
      </c>
      <c r="M137" s="792">
        <f t="shared" si="47"/>
        <v>0</v>
      </c>
      <c r="N137" s="792">
        <f>N132-SUM(N135,N136)</f>
        <v>0</v>
      </c>
    </row>
    <row r="138" spans="1:14" ht="15" hidden="1">
      <c r="A138" s="508" t="s">
        <v>51</v>
      </c>
      <c r="B138" s="430" t="s">
        <v>137</v>
      </c>
      <c r="C138" s="791">
        <f>C139+C140+C141+C142+C143+C144+C145</f>
        <v>296</v>
      </c>
      <c r="D138" s="791">
        <f>D139+D140+D141+D142+D143+D144+D145</f>
        <v>36</v>
      </c>
      <c r="E138" s="791">
        <f>F138+G138</f>
        <v>83</v>
      </c>
      <c r="F138" s="791">
        <f aca="true" t="shared" si="48" ref="F138:M138">F139+F140+F141+F142+F143+F144+F145</f>
        <v>11</v>
      </c>
      <c r="G138" s="791">
        <f t="shared" si="48"/>
        <v>72</v>
      </c>
      <c r="H138" s="791">
        <f t="shared" si="48"/>
        <v>0</v>
      </c>
      <c r="I138" s="791">
        <f t="shared" si="48"/>
        <v>177</v>
      </c>
      <c r="J138" s="791">
        <f t="shared" si="48"/>
        <v>0</v>
      </c>
      <c r="K138" s="791">
        <f t="shared" si="48"/>
        <v>0</v>
      </c>
      <c r="L138" s="791">
        <f t="shared" si="48"/>
        <v>0</v>
      </c>
      <c r="M138" s="791">
        <f t="shared" si="48"/>
        <v>0</v>
      </c>
      <c r="N138" s="791">
        <f>N139+N140+N141+N142+N143+N144+N145</f>
        <v>0</v>
      </c>
    </row>
    <row r="139" spans="1:14" ht="15" hidden="1">
      <c r="A139" s="507" t="s">
        <v>53</v>
      </c>
      <c r="B139" s="429" t="s">
        <v>138</v>
      </c>
      <c r="C139" s="796">
        <f aca="true" t="shared" si="49" ref="C139:C145">SUM(D139,E139,H139:N139)</f>
        <v>285</v>
      </c>
      <c r="D139" s="873">
        <v>34</v>
      </c>
      <c r="E139" s="1116">
        <f aca="true" t="shared" si="50" ref="E139:E145">SUM(F139:G139)</f>
        <v>75</v>
      </c>
      <c r="F139" s="873">
        <v>10</v>
      </c>
      <c r="G139" s="873">
        <v>65</v>
      </c>
      <c r="H139" s="873"/>
      <c r="I139" s="873">
        <v>176</v>
      </c>
      <c r="J139" s="873"/>
      <c r="K139" s="873"/>
      <c r="L139" s="873"/>
      <c r="M139" s="873"/>
      <c r="N139" s="872"/>
    </row>
    <row r="140" spans="1:14" ht="15" hidden="1">
      <c r="A140" s="507" t="s">
        <v>54</v>
      </c>
      <c r="B140" s="429" t="s">
        <v>139</v>
      </c>
      <c r="C140" s="796">
        <f t="shared" si="49"/>
        <v>2</v>
      </c>
      <c r="D140" s="873">
        <v>1</v>
      </c>
      <c r="E140" s="793">
        <f t="shared" si="50"/>
        <v>1</v>
      </c>
      <c r="F140" s="873"/>
      <c r="G140" s="873">
        <v>1</v>
      </c>
      <c r="H140" s="873"/>
      <c r="I140" s="873"/>
      <c r="J140" s="873"/>
      <c r="K140" s="873"/>
      <c r="L140" s="873"/>
      <c r="M140" s="873"/>
      <c r="N140" s="872"/>
    </row>
    <row r="141" spans="1:14" ht="15" hidden="1">
      <c r="A141" s="507" t="s">
        <v>140</v>
      </c>
      <c r="B141" s="429" t="s">
        <v>141</v>
      </c>
      <c r="C141" s="796">
        <f t="shared" si="49"/>
        <v>9</v>
      </c>
      <c r="D141" s="871">
        <v>1</v>
      </c>
      <c r="E141" s="793">
        <f t="shared" si="50"/>
        <v>7</v>
      </c>
      <c r="F141" s="873">
        <v>1</v>
      </c>
      <c r="G141" s="873">
        <v>6</v>
      </c>
      <c r="H141" s="873"/>
      <c r="I141" s="873">
        <v>1</v>
      </c>
      <c r="J141" s="873"/>
      <c r="K141" s="873"/>
      <c r="L141" s="873"/>
      <c r="M141" s="873"/>
      <c r="N141" s="872"/>
    </row>
    <row r="142" spans="1:14" ht="15" hidden="1">
      <c r="A142" s="507" t="s">
        <v>142</v>
      </c>
      <c r="B142" s="429" t="s">
        <v>143</v>
      </c>
      <c r="C142" s="797">
        <f t="shared" si="49"/>
        <v>0</v>
      </c>
      <c r="D142" s="871"/>
      <c r="E142" s="798">
        <f t="shared" si="50"/>
        <v>0</v>
      </c>
      <c r="F142" s="873"/>
      <c r="G142" s="873"/>
      <c r="H142" s="873"/>
      <c r="I142" s="873"/>
      <c r="J142" s="873"/>
      <c r="K142" s="873"/>
      <c r="L142" s="873"/>
      <c r="M142" s="873"/>
      <c r="N142" s="872"/>
    </row>
    <row r="143" spans="1:14" ht="15" hidden="1">
      <c r="A143" s="507" t="s">
        <v>144</v>
      </c>
      <c r="B143" s="429" t="s">
        <v>145</v>
      </c>
      <c r="C143" s="796">
        <f t="shared" si="49"/>
        <v>0</v>
      </c>
      <c r="D143" s="871"/>
      <c r="E143" s="793">
        <f t="shared" si="50"/>
        <v>0</v>
      </c>
      <c r="F143" s="873"/>
      <c r="G143" s="873"/>
      <c r="H143" s="873"/>
      <c r="I143" s="873"/>
      <c r="J143" s="873"/>
      <c r="K143" s="873"/>
      <c r="L143" s="873"/>
      <c r="M143" s="873"/>
      <c r="N143" s="872"/>
    </row>
    <row r="144" spans="1:14" ht="25.5" hidden="1">
      <c r="A144" s="507" t="s">
        <v>146</v>
      </c>
      <c r="B144" s="431" t="s">
        <v>147</v>
      </c>
      <c r="C144" s="796">
        <f t="shared" si="49"/>
        <v>0</v>
      </c>
      <c r="D144" s="871"/>
      <c r="E144" s="793">
        <f t="shared" si="50"/>
        <v>0</v>
      </c>
      <c r="F144" s="873"/>
      <c r="G144" s="873"/>
      <c r="H144" s="873"/>
      <c r="I144" s="873"/>
      <c r="J144" s="873"/>
      <c r="K144" s="873"/>
      <c r="L144" s="873"/>
      <c r="M144" s="873"/>
      <c r="N144" s="872"/>
    </row>
    <row r="145" spans="1:14" ht="15" hidden="1">
      <c r="A145" s="507" t="s">
        <v>148</v>
      </c>
      <c r="B145" s="429" t="s">
        <v>149</v>
      </c>
      <c r="C145" s="796">
        <f t="shared" si="49"/>
        <v>0</v>
      </c>
      <c r="D145" s="871"/>
      <c r="E145" s="793">
        <f t="shared" si="50"/>
        <v>0</v>
      </c>
      <c r="F145" s="406">
        <f>0+0+0</f>
        <v>0</v>
      </c>
      <c r="G145" s="820"/>
      <c r="H145" s="820">
        <f>0+0+0</f>
        <v>0</v>
      </c>
      <c r="I145" s="820"/>
      <c r="J145" s="820"/>
      <c r="K145" s="820"/>
      <c r="L145" s="820"/>
      <c r="M145" s="820"/>
      <c r="N145" s="820"/>
    </row>
    <row r="146" spans="1:14" ht="15" hidden="1">
      <c r="A146" s="508" t="s">
        <v>52</v>
      </c>
      <c r="B146" s="394" t="s">
        <v>150</v>
      </c>
      <c r="C146" s="791">
        <f>SUM(D146,E146,H146:N146)</f>
        <v>79</v>
      </c>
      <c r="D146" s="791">
        <f>D137-D138</f>
        <v>9</v>
      </c>
      <c r="E146" s="792">
        <f>SUM(F146:G146)</f>
        <v>67</v>
      </c>
      <c r="F146" s="791">
        <f aca="true" t="shared" si="51" ref="F146:N146">F137-F138</f>
        <v>5</v>
      </c>
      <c r="G146" s="791">
        <f t="shared" si="51"/>
        <v>62</v>
      </c>
      <c r="H146" s="791">
        <f t="shared" si="51"/>
        <v>0</v>
      </c>
      <c r="I146" s="791">
        <f t="shared" si="51"/>
        <v>3</v>
      </c>
      <c r="J146" s="791">
        <f t="shared" si="51"/>
        <v>0</v>
      </c>
      <c r="K146" s="791">
        <f t="shared" si="51"/>
        <v>0</v>
      </c>
      <c r="L146" s="791">
        <f t="shared" si="51"/>
        <v>0</v>
      </c>
      <c r="M146" s="791">
        <f t="shared" si="51"/>
        <v>0</v>
      </c>
      <c r="N146" s="791">
        <f t="shared" si="51"/>
        <v>0</v>
      </c>
    </row>
    <row r="147" spans="1:14" ht="23.25" customHeight="1" hidden="1">
      <c r="A147" s="508" t="s">
        <v>538</v>
      </c>
      <c r="B147" s="432" t="s">
        <v>151</v>
      </c>
      <c r="C147" s="413">
        <f>(C139+C140)/C138</f>
        <v>0.9695945945945946</v>
      </c>
      <c r="D147" s="413">
        <f aca="true" t="shared" si="52" ref="D147:N147">(D139+C140)/D138</f>
        <v>1</v>
      </c>
      <c r="E147" s="413">
        <f t="shared" si="52"/>
        <v>0.9156626506024096</v>
      </c>
      <c r="F147" s="413">
        <f t="shared" si="52"/>
        <v>1</v>
      </c>
      <c r="G147" s="413">
        <f t="shared" si="52"/>
        <v>0.9027777777777778</v>
      </c>
      <c r="H147" s="413" t="e">
        <f t="shared" si="52"/>
        <v>#DIV/0!</v>
      </c>
      <c r="I147" s="413">
        <f t="shared" si="52"/>
        <v>0.9943502824858758</v>
      </c>
      <c r="J147" s="413" t="e">
        <f t="shared" si="52"/>
        <v>#DIV/0!</v>
      </c>
      <c r="K147" s="413" t="e">
        <f t="shared" si="52"/>
        <v>#DIV/0!</v>
      </c>
      <c r="L147" s="413" t="e">
        <f t="shared" si="52"/>
        <v>#DIV/0!</v>
      </c>
      <c r="M147" s="413" t="e">
        <f t="shared" si="52"/>
        <v>#DIV/0!</v>
      </c>
      <c r="N147" s="413" t="e">
        <f t="shared" si="52"/>
        <v>#DIV/0!</v>
      </c>
    </row>
    <row r="148" ht="0.75" customHeight="1" hidden="1"/>
    <row r="149" ht="15" hidden="1">
      <c r="B149" s="861" t="s">
        <v>734</v>
      </c>
    </row>
    <row r="150" spans="1:14" ht="15" customHeight="1" hidden="1">
      <c r="A150" s="1573" t="s">
        <v>68</v>
      </c>
      <c r="B150" s="1574"/>
      <c r="C150" s="1579" t="s">
        <v>37</v>
      </c>
      <c r="D150" s="1582" t="s">
        <v>335</v>
      </c>
      <c r="E150" s="1583"/>
      <c r="F150" s="1583"/>
      <c r="G150" s="1583"/>
      <c r="H150" s="1583"/>
      <c r="I150" s="1583"/>
      <c r="J150" s="1583"/>
      <c r="K150" s="1583"/>
      <c r="L150" s="1583"/>
      <c r="M150" s="1583"/>
      <c r="N150" s="1584"/>
    </row>
    <row r="151" spans="1:14" ht="15" customHeight="1" hidden="1">
      <c r="A151" s="1575"/>
      <c r="B151" s="1576"/>
      <c r="C151" s="1580"/>
      <c r="D151" s="1585" t="s">
        <v>119</v>
      </c>
      <c r="E151" s="1571" t="s">
        <v>120</v>
      </c>
      <c r="F151" s="1588"/>
      <c r="G151" s="1572"/>
      <c r="H151" s="1568" t="s">
        <v>121</v>
      </c>
      <c r="I151" s="1568" t="s">
        <v>122</v>
      </c>
      <c r="J151" s="1568" t="s">
        <v>123</v>
      </c>
      <c r="K151" s="1568" t="s">
        <v>124</v>
      </c>
      <c r="L151" s="1568" t="s">
        <v>125</v>
      </c>
      <c r="M151" s="1568" t="s">
        <v>126</v>
      </c>
      <c r="N151" s="1568" t="s">
        <v>127</v>
      </c>
    </row>
    <row r="152" spans="1:14" ht="15" hidden="1">
      <c r="A152" s="1575"/>
      <c r="B152" s="1576"/>
      <c r="C152" s="1580"/>
      <c r="D152" s="1586"/>
      <c r="E152" s="1568" t="s">
        <v>36</v>
      </c>
      <c r="F152" s="1571" t="s">
        <v>7</v>
      </c>
      <c r="G152" s="1572"/>
      <c r="H152" s="1569"/>
      <c r="I152" s="1569"/>
      <c r="J152" s="1569"/>
      <c r="K152" s="1569"/>
      <c r="L152" s="1569"/>
      <c r="M152" s="1569"/>
      <c r="N152" s="1569"/>
    </row>
    <row r="153" spans="1:14" ht="15" hidden="1">
      <c r="A153" s="1577"/>
      <c r="B153" s="1578"/>
      <c r="C153" s="1581"/>
      <c r="D153" s="1587"/>
      <c r="E153" s="1570"/>
      <c r="F153" s="559" t="s">
        <v>199</v>
      </c>
      <c r="G153" s="560" t="s">
        <v>200</v>
      </c>
      <c r="H153" s="1570"/>
      <c r="I153" s="1570"/>
      <c r="J153" s="1570"/>
      <c r="K153" s="1570"/>
      <c r="L153" s="1570"/>
      <c r="M153" s="1570"/>
      <c r="N153" s="1570"/>
    </row>
    <row r="154" spans="1:14" ht="15" hidden="1">
      <c r="A154" s="1566" t="s">
        <v>39</v>
      </c>
      <c r="B154" s="1567"/>
      <c r="C154" s="505">
        <v>1</v>
      </c>
      <c r="D154" s="505">
        <v>2</v>
      </c>
      <c r="E154" s="505">
        <v>3</v>
      </c>
      <c r="F154" s="505">
        <v>4</v>
      </c>
      <c r="G154" s="505">
        <v>5</v>
      </c>
      <c r="H154" s="505">
        <v>6</v>
      </c>
      <c r="I154" s="505">
        <v>7</v>
      </c>
      <c r="J154" s="505">
        <v>8</v>
      </c>
      <c r="K154" s="505">
        <v>9</v>
      </c>
      <c r="L154" s="505">
        <v>10</v>
      </c>
      <c r="M154" s="505">
        <v>11</v>
      </c>
      <c r="N154" s="505">
        <v>12</v>
      </c>
    </row>
    <row r="155" spans="1:14" ht="17.25" customHeight="1" hidden="1">
      <c r="A155" s="506" t="s">
        <v>0</v>
      </c>
      <c r="B155" s="427" t="s">
        <v>130</v>
      </c>
      <c r="C155" s="791">
        <f aca="true" t="shared" si="53" ref="C155:C160">SUM(D155,E155,H155:N155)</f>
        <v>514</v>
      </c>
      <c r="D155" s="792">
        <f aca="true" t="shared" si="54" ref="D155:N155">SUM(D156:D157)</f>
        <v>62</v>
      </c>
      <c r="E155" s="792">
        <f t="shared" si="54"/>
        <v>198</v>
      </c>
      <c r="F155" s="792">
        <f t="shared" si="54"/>
        <v>40</v>
      </c>
      <c r="G155" s="792">
        <f t="shared" si="54"/>
        <v>158</v>
      </c>
      <c r="H155" s="792">
        <f t="shared" si="54"/>
        <v>1</v>
      </c>
      <c r="I155" s="792">
        <f t="shared" si="54"/>
        <v>194</v>
      </c>
      <c r="J155" s="792">
        <f t="shared" si="54"/>
        <v>1</v>
      </c>
      <c r="K155" s="792">
        <f t="shared" si="54"/>
        <v>0</v>
      </c>
      <c r="L155" s="792">
        <f t="shared" si="54"/>
        <v>0</v>
      </c>
      <c r="M155" s="792">
        <f t="shared" si="54"/>
        <v>0</v>
      </c>
      <c r="N155" s="792">
        <f t="shared" si="54"/>
        <v>58</v>
      </c>
    </row>
    <row r="156" spans="1:14" ht="24.75" customHeight="1" hidden="1">
      <c r="A156" s="507">
        <v>1</v>
      </c>
      <c r="B156" s="429" t="s">
        <v>131</v>
      </c>
      <c r="C156" s="819">
        <f t="shared" si="53"/>
        <v>102</v>
      </c>
      <c r="D156" s="803">
        <f>2+4+4+6</f>
        <v>16</v>
      </c>
      <c r="E156" s="793">
        <f>SUM(F156:G156)</f>
        <v>83</v>
      </c>
      <c r="F156" s="863">
        <f>0+2+11+17</f>
        <v>30</v>
      </c>
      <c r="G156" s="863">
        <f>13+17+12+11</f>
        <v>53</v>
      </c>
      <c r="H156" s="863"/>
      <c r="I156" s="863">
        <f>0+2+0+0</f>
        <v>2</v>
      </c>
      <c r="J156" s="863">
        <v>1</v>
      </c>
      <c r="K156" s="863"/>
      <c r="L156" s="863"/>
      <c r="M156" s="863"/>
      <c r="N156" s="863"/>
    </row>
    <row r="157" spans="1:14" ht="24.75" customHeight="1" hidden="1">
      <c r="A157" s="507">
        <v>2</v>
      </c>
      <c r="B157" s="429" t="s">
        <v>132</v>
      </c>
      <c r="C157" s="819">
        <f t="shared" si="53"/>
        <v>412</v>
      </c>
      <c r="D157" s="803">
        <f>9+6+21+10</f>
        <v>46</v>
      </c>
      <c r="E157" s="793">
        <f>SUM(F157:G157)</f>
        <v>115</v>
      </c>
      <c r="F157" s="863">
        <f>0+1+0+9</f>
        <v>10</v>
      </c>
      <c r="G157" s="863">
        <f>24+20+32+29</f>
        <v>105</v>
      </c>
      <c r="H157" s="863">
        <v>1</v>
      </c>
      <c r="I157" s="863">
        <f>33+43+69+47</f>
        <v>192</v>
      </c>
      <c r="J157" s="863">
        <v>0</v>
      </c>
      <c r="K157" s="863"/>
      <c r="L157" s="863"/>
      <c r="M157" s="863"/>
      <c r="N157" s="863">
        <v>58</v>
      </c>
    </row>
    <row r="158" spans="1:14" ht="19.5" customHeight="1" hidden="1">
      <c r="A158" s="508" t="s">
        <v>1</v>
      </c>
      <c r="B158" s="394" t="s">
        <v>133</v>
      </c>
      <c r="C158" s="819">
        <f t="shared" si="53"/>
        <v>2</v>
      </c>
      <c r="D158" s="935"/>
      <c r="E158" s="793">
        <f>SUM(F158:G158)</f>
        <v>2</v>
      </c>
      <c r="F158" s="934"/>
      <c r="G158" s="934">
        <v>2</v>
      </c>
      <c r="H158" s="934">
        <v>0</v>
      </c>
      <c r="I158" s="934"/>
      <c r="J158" s="934"/>
      <c r="K158" s="934"/>
      <c r="L158" s="934"/>
      <c r="M158" s="934"/>
      <c r="N158" s="934"/>
    </row>
    <row r="159" spans="1:14" ht="15" hidden="1">
      <c r="A159" s="508" t="s">
        <v>9</v>
      </c>
      <c r="B159" s="394" t="s">
        <v>134</v>
      </c>
      <c r="C159" s="819">
        <f t="shared" si="53"/>
        <v>0</v>
      </c>
      <c r="D159" s="795"/>
      <c r="E159" s="793">
        <f>SUM(F159:G159)</f>
        <v>0</v>
      </c>
      <c r="F159" s="820"/>
      <c r="G159" s="820"/>
      <c r="H159" s="820"/>
      <c r="I159" s="820"/>
      <c r="J159" s="820"/>
      <c r="K159" s="820"/>
      <c r="L159" s="820"/>
      <c r="M159" s="820"/>
      <c r="N159" s="820"/>
    </row>
    <row r="160" spans="1:14" ht="15" hidden="1">
      <c r="A160" s="508" t="s">
        <v>135</v>
      </c>
      <c r="B160" s="394" t="s">
        <v>136</v>
      </c>
      <c r="C160" s="791">
        <f t="shared" si="53"/>
        <v>512</v>
      </c>
      <c r="D160" s="792">
        <f aca="true" t="shared" si="55" ref="D160:N160">D155-SUM(D158,D159)</f>
        <v>62</v>
      </c>
      <c r="E160" s="792">
        <f t="shared" si="55"/>
        <v>196</v>
      </c>
      <c r="F160" s="792">
        <f t="shared" si="55"/>
        <v>40</v>
      </c>
      <c r="G160" s="792">
        <f t="shared" si="55"/>
        <v>156</v>
      </c>
      <c r="H160" s="792">
        <f t="shared" si="55"/>
        <v>1</v>
      </c>
      <c r="I160" s="792">
        <f t="shared" si="55"/>
        <v>194</v>
      </c>
      <c r="J160" s="792">
        <f t="shared" si="55"/>
        <v>1</v>
      </c>
      <c r="K160" s="792">
        <f t="shared" si="55"/>
        <v>0</v>
      </c>
      <c r="L160" s="792">
        <f t="shared" si="55"/>
        <v>0</v>
      </c>
      <c r="M160" s="792">
        <f t="shared" si="55"/>
        <v>0</v>
      </c>
      <c r="N160" s="792">
        <f t="shared" si="55"/>
        <v>58</v>
      </c>
    </row>
    <row r="161" spans="1:14" ht="15" hidden="1">
      <c r="A161" s="508" t="s">
        <v>51</v>
      </c>
      <c r="B161" s="430" t="s">
        <v>137</v>
      </c>
      <c r="C161" s="791">
        <f>C162+C163+C164+C165+C166+C167+C168</f>
        <v>419</v>
      </c>
      <c r="D161" s="791">
        <f>D162+D163+D164+D165+D166+D167+D168</f>
        <v>54</v>
      </c>
      <c r="E161" s="791">
        <f>F161+G161</f>
        <v>114</v>
      </c>
      <c r="F161" s="791">
        <f aca="true" t="shared" si="56" ref="F161:M161">F162+F163+F164+F165+F166+F167+F168</f>
        <v>12</v>
      </c>
      <c r="G161" s="791">
        <f t="shared" si="56"/>
        <v>102</v>
      </c>
      <c r="H161" s="791">
        <f t="shared" si="56"/>
        <v>1</v>
      </c>
      <c r="I161" s="791">
        <f t="shared" si="56"/>
        <v>192</v>
      </c>
      <c r="J161" s="791">
        <f t="shared" si="56"/>
        <v>0</v>
      </c>
      <c r="K161" s="791">
        <f t="shared" si="56"/>
        <v>0</v>
      </c>
      <c r="L161" s="791">
        <f t="shared" si="56"/>
        <v>0</v>
      </c>
      <c r="M161" s="791">
        <f t="shared" si="56"/>
        <v>0</v>
      </c>
      <c r="N161" s="791">
        <f>N162+N163+N164+N165+N166+N167+N168</f>
        <v>58</v>
      </c>
    </row>
    <row r="162" spans="1:14" ht="15.75" hidden="1">
      <c r="A162" s="507" t="s">
        <v>53</v>
      </c>
      <c r="B162" s="429" t="s">
        <v>138</v>
      </c>
      <c r="C162" s="796">
        <f aca="true" t="shared" si="57" ref="C162:C168">SUM(D162,E162,H162:N162)</f>
        <v>382</v>
      </c>
      <c r="D162" s="803">
        <f>9+4+16+8</f>
        <v>37</v>
      </c>
      <c r="E162" s="793">
        <f aca="true" t="shared" si="58" ref="E162:E168">SUM(F162:G162)</f>
        <v>99</v>
      </c>
      <c r="F162" s="863">
        <f>0+3+0+9</f>
        <v>12</v>
      </c>
      <c r="G162" s="863">
        <f>15+20+26+26</f>
        <v>87</v>
      </c>
      <c r="H162" s="863">
        <v>1</v>
      </c>
      <c r="I162" s="863">
        <f>32+42+68+45</f>
        <v>187</v>
      </c>
      <c r="J162" s="863">
        <v>0</v>
      </c>
      <c r="K162" s="863"/>
      <c r="L162" s="863"/>
      <c r="M162" s="863"/>
      <c r="N162" s="863">
        <v>58</v>
      </c>
    </row>
    <row r="163" spans="1:14" ht="15.75" hidden="1">
      <c r="A163" s="507" t="s">
        <v>54</v>
      </c>
      <c r="B163" s="429" t="s">
        <v>139</v>
      </c>
      <c r="C163" s="796">
        <f t="shared" si="57"/>
        <v>4</v>
      </c>
      <c r="D163" s="803">
        <v>1</v>
      </c>
      <c r="E163" s="793">
        <f t="shared" si="58"/>
        <v>3</v>
      </c>
      <c r="F163" s="863"/>
      <c r="G163" s="863">
        <f>1+0+0+2</f>
        <v>3</v>
      </c>
      <c r="H163" s="863"/>
      <c r="I163" s="863"/>
      <c r="J163" s="863"/>
      <c r="K163" s="863"/>
      <c r="L163" s="863"/>
      <c r="M163" s="863"/>
      <c r="N163" s="863"/>
    </row>
    <row r="164" spans="1:14" ht="15.75" hidden="1">
      <c r="A164" s="507" t="s">
        <v>140</v>
      </c>
      <c r="B164" s="429" t="s">
        <v>141</v>
      </c>
      <c r="C164" s="796">
        <f t="shared" si="57"/>
        <v>33</v>
      </c>
      <c r="D164" s="803">
        <f>0+6+4+6</f>
        <v>16</v>
      </c>
      <c r="E164" s="793">
        <f t="shared" si="58"/>
        <v>12</v>
      </c>
      <c r="F164" s="863">
        <f>0+0+0+0</f>
        <v>0</v>
      </c>
      <c r="G164" s="863">
        <f>7+0+5+0</f>
        <v>12</v>
      </c>
      <c r="H164" s="863"/>
      <c r="I164" s="863">
        <f>1+1+1+2</f>
        <v>5</v>
      </c>
      <c r="J164" s="863"/>
      <c r="K164" s="863"/>
      <c r="L164" s="863"/>
      <c r="M164" s="863"/>
      <c r="N164" s="863">
        <v>0</v>
      </c>
    </row>
    <row r="165" spans="1:14" ht="15.75" hidden="1">
      <c r="A165" s="507" t="s">
        <v>142</v>
      </c>
      <c r="B165" s="429" t="s">
        <v>143</v>
      </c>
      <c r="C165" s="797">
        <f t="shared" si="57"/>
        <v>0</v>
      </c>
      <c r="D165" s="803"/>
      <c r="E165" s="798">
        <f t="shared" si="58"/>
        <v>0</v>
      </c>
      <c r="F165" s="863"/>
      <c r="G165" s="863"/>
      <c r="H165" s="863">
        <v>0</v>
      </c>
      <c r="I165" s="863"/>
      <c r="J165" s="863"/>
      <c r="K165" s="863"/>
      <c r="L165" s="863"/>
      <c r="M165" s="863"/>
      <c r="N165" s="863"/>
    </row>
    <row r="166" spans="1:14" ht="20.25" customHeight="1" hidden="1">
      <c r="A166" s="507" t="s">
        <v>144</v>
      </c>
      <c r="B166" s="429" t="s">
        <v>145</v>
      </c>
      <c r="C166" s="796">
        <f t="shared" si="57"/>
        <v>0</v>
      </c>
      <c r="D166" s="803"/>
      <c r="E166" s="793">
        <f t="shared" si="58"/>
        <v>0</v>
      </c>
      <c r="F166" s="863"/>
      <c r="G166" s="863"/>
      <c r="H166" s="863">
        <v>0</v>
      </c>
      <c r="I166" s="863"/>
      <c r="J166" s="863"/>
      <c r="K166" s="863"/>
      <c r="L166" s="863"/>
      <c r="M166" s="863"/>
      <c r="N166" s="863"/>
    </row>
    <row r="167" spans="1:14" ht="25.5" hidden="1">
      <c r="A167" s="507" t="s">
        <v>146</v>
      </c>
      <c r="B167" s="431" t="s">
        <v>147</v>
      </c>
      <c r="C167" s="796">
        <f t="shared" si="57"/>
        <v>0</v>
      </c>
      <c r="D167" s="803"/>
      <c r="E167" s="793">
        <f t="shared" si="58"/>
        <v>0</v>
      </c>
      <c r="F167" s="863"/>
      <c r="G167" s="863"/>
      <c r="H167" s="863">
        <v>0</v>
      </c>
      <c r="I167" s="863"/>
      <c r="J167" s="863"/>
      <c r="K167" s="863"/>
      <c r="L167" s="863"/>
      <c r="M167" s="863"/>
      <c r="N167" s="863"/>
    </row>
    <row r="168" spans="1:14" ht="15.75" hidden="1">
      <c r="A168" s="507" t="s">
        <v>148</v>
      </c>
      <c r="B168" s="429" t="s">
        <v>149</v>
      </c>
      <c r="C168" s="796">
        <f t="shared" si="57"/>
        <v>0</v>
      </c>
      <c r="D168" s="803">
        <v>0</v>
      </c>
      <c r="E168" s="793">
        <f t="shared" si="58"/>
        <v>0</v>
      </c>
      <c r="F168" s="863"/>
      <c r="G168" s="863"/>
      <c r="H168" s="863">
        <v>0</v>
      </c>
      <c r="I168" s="863"/>
      <c r="J168" s="863"/>
      <c r="K168" s="863"/>
      <c r="L168" s="863"/>
      <c r="M168" s="863"/>
      <c r="N168" s="863"/>
    </row>
    <row r="169" spans="1:14" ht="15" hidden="1">
      <c r="A169" s="508" t="s">
        <v>52</v>
      </c>
      <c r="B169" s="394" t="s">
        <v>150</v>
      </c>
      <c r="C169" s="791">
        <f>SUM(D169,E169,H169:N169)</f>
        <v>93</v>
      </c>
      <c r="D169" s="791">
        <f>D160-D161</f>
        <v>8</v>
      </c>
      <c r="E169" s="792">
        <f>SUM(F169:G169)</f>
        <v>82</v>
      </c>
      <c r="F169" s="791">
        <f aca="true" t="shared" si="59" ref="F169:N169">F160-F161</f>
        <v>28</v>
      </c>
      <c r="G169" s="791">
        <f t="shared" si="59"/>
        <v>54</v>
      </c>
      <c r="H169" s="791">
        <f t="shared" si="59"/>
        <v>0</v>
      </c>
      <c r="I169" s="791">
        <f t="shared" si="59"/>
        <v>2</v>
      </c>
      <c r="J169" s="791">
        <f t="shared" si="59"/>
        <v>1</v>
      </c>
      <c r="K169" s="791">
        <f t="shared" si="59"/>
        <v>0</v>
      </c>
      <c r="L169" s="791">
        <f t="shared" si="59"/>
        <v>0</v>
      </c>
      <c r="M169" s="791">
        <f t="shared" si="59"/>
        <v>0</v>
      </c>
      <c r="N169" s="791">
        <f t="shared" si="59"/>
        <v>0</v>
      </c>
    </row>
    <row r="170" spans="1:14" ht="25.5" hidden="1">
      <c r="A170" s="508" t="s">
        <v>538</v>
      </c>
      <c r="B170" s="432" t="s">
        <v>151</v>
      </c>
      <c r="C170" s="413">
        <f>(C162+C163)/C161</f>
        <v>0.9212410501193318</v>
      </c>
      <c r="D170" s="413">
        <f aca="true" t="shared" si="60" ref="D170:N170">(D162+C163)/D161</f>
        <v>0.7592592592592593</v>
      </c>
      <c r="E170" s="413">
        <f t="shared" si="60"/>
        <v>0.8771929824561403</v>
      </c>
      <c r="F170" s="413">
        <f t="shared" si="60"/>
        <v>1.25</v>
      </c>
      <c r="G170" s="413">
        <f t="shared" si="60"/>
        <v>0.8529411764705882</v>
      </c>
      <c r="H170" s="413">
        <f t="shared" si="60"/>
        <v>4</v>
      </c>
      <c r="I170" s="413">
        <f t="shared" si="60"/>
        <v>0.9739583333333334</v>
      </c>
      <c r="J170" s="413" t="e">
        <f t="shared" si="60"/>
        <v>#DIV/0!</v>
      </c>
      <c r="K170" s="413" t="e">
        <f t="shared" si="60"/>
        <v>#DIV/0!</v>
      </c>
      <c r="L170" s="413" t="e">
        <f t="shared" si="60"/>
        <v>#DIV/0!</v>
      </c>
      <c r="M170" s="413" t="e">
        <f t="shared" si="60"/>
        <v>#DIV/0!</v>
      </c>
      <c r="N170" s="413">
        <f t="shared" si="60"/>
        <v>1</v>
      </c>
    </row>
    <row r="171" ht="15" hidden="1"/>
    <row r="172" ht="15" hidden="1"/>
    <row r="173" ht="18.75" customHeight="1" hidden="1">
      <c r="B173" s="861" t="s">
        <v>735</v>
      </c>
    </row>
    <row r="174" spans="1:14" ht="15" customHeight="1" hidden="1">
      <c r="A174" s="1573" t="s">
        <v>68</v>
      </c>
      <c r="B174" s="1574"/>
      <c r="C174" s="1579" t="s">
        <v>37</v>
      </c>
      <c r="D174" s="1582" t="s">
        <v>335</v>
      </c>
      <c r="E174" s="1583"/>
      <c r="F174" s="1583"/>
      <c r="G174" s="1583"/>
      <c r="H174" s="1583"/>
      <c r="I174" s="1583"/>
      <c r="J174" s="1583"/>
      <c r="K174" s="1583"/>
      <c r="L174" s="1583"/>
      <c r="M174" s="1583"/>
      <c r="N174" s="1584"/>
    </row>
    <row r="175" spans="1:14" ht="15" customHeight="1" hidden="1">
      <c r="A175" s="1575"/>
      <c r="B175" s="1576"/>
      <c r="C175" s="1580"/>
      <c r="D175" s="1585" t="s">
        <v>119</v>
      </c>
      <c r="E175" s="1571" t="s">
        <v>120</v>
      </c>
      <c r="F175" s="1588"/>
      <c r="G175" s="1572"/>
      <c r="H175" s="1568" t="s">
        <v>121</v>
      </c>
      <c r="I175" s="1568" t="s">
        <v>122</v>
      </c>
      <c r="J175" s="1568" t="s">
        <v>123</v>
      </c>
      <c r="K175" s="1568" t="s">
        <v>124</v>
      </c>
      <c r="L175" s="1568" t="s">
        <v>125</v>
      </c>
      <c r="M175" s="1568" t="s">
        <v>126</v>
      </c>
      <c r="N175" s="1568" t="s">
        <v>127</v>
      </c>
    </row>
    <row r="176" spans="1:14" ht="15" hidden="1">
      <c r="A176" s="1575"/>
      <c r="B176" s="1576"/>
      <c r="C176" s="1580"/>
      <c r="D176" s="1586"/>
      <c r="E176" s="1568" t="s">
        <v>36</v>
      </c>
      <c r="F176" s="1571" t="s">
        <v>7</v>
      </c>
      <c r="G176" s="1572"/>
      <c r="H176" s="1569"/>
      <c r="I176" s="1569"/>
      <c r="J176" s="1569"/>
      <c r="K176" s="1569"/>
      <c r="L176" s="1569"/>
      <c r="M176" s="1569"/>
      <c r="N176" s="1569"/>
    </row>
    <row r="177" spans="1:14" ht="15" hidden="1">
      <c r="A177" s="1577"/>
      <c r="B177" s="1578"/>
      <c r="C177" s="1581"/>
      <c r="D177" s="1587"/>
      <c r="E177" s="1570"/>
      <c r="F177" s="559" t="s">
        <v>199</v>
      </c>
      <c r="G177" s="560" t="s">
        <v>200</v>
      </c>
      <c r="H177" s="1570"/>
      <c r="I177" s="1570"/>
      <c r="J177" s="1570"/>
      <c r="K177" s="1570"/>
      <c r="L177" s="1570"/>
      <c r="M177" s="1570"/>
      <c r="N177" s="1570"/>
    </row>
    <row r="178" spans="1:14" ht="15" hidden="1">
      <c r="A178" s="1566" t="s">
        <v>39</v>
      </c>
      <c r="B178" s="1567"/>
      <c r="C178" s="505">
        <v>1</v>
      </c>
      <c r="D178" s="505">
        <v>2</v>
      </c>
      <c r="E178" s="505">
        <v>3</v>
      </c>
      <c r="F178" s="505">
        <v>4</v>
      </c>
      <c r="G178" s="505">
        <v>5</v>
      </c>
      <c r="H178" s="505">
        <v>6</v>
      </c>
      <c r="I178" s="505">
        <v>7</v>
      </c>
      <c r="J178" s="505">
        <v>8</v>
      </c>
      <c r="K178" s="505">
        <v>9</v>
      </c>
      <c r="L178" s="505">
        <v>10</v>
      </c>
      <c r="M178" s="505">
        <v>11</v>
      </c>
      <c r="N178" s="505">
        <v>12</v>
      </c>
    </row>
    <row r="179" spans="1:14" ht="15" hidden="1">
      <c r="A179" s="506" t="s">
        <v>0</v>
      </c>
      <c r="B179" s="427" t="s">
        <v>130</v>
      </c>
      <c r="C179" s="791">
        <f aca="true" t="shared" si="61" ref="C179:C184">SUM(D179,E179,H179:N179)</f>
        <v>128</v>
      </c>
      <c r="D179" s="792">
        <f aca="true" t="shared" si="62" ref="D179:N179">SUM(D180:D181)</f>
        <v>12</v>
      </c>
      <c r="E179" s="792">
        <f t="shared" si="62"/>
        <v>72</v>
      </c>
      <c r="F179" s="792">
        <f t="shared" si="62"/>
        <v>11</v>
      </c>
      <c r="G179" s="792">
        <f t="shared" si="62"/>
        <v>61</v>
      </c>
      <c r="H179" s="792">
        <f t="shared" si="62"/>
        <v>0</v>
      </c>
      <c r="I179" s="792">
        <f t="shared" si="62"/>
        <v>44</v>
      </c>
      <c r="J179" s="792">
        <f t="shared" si="62"/>
        <v>0</v>
      </c>
      <c r="K179" s="792">
        <f t="shared" si="62"/>
        <v>0</v>
      </c>
      <c r="L179" s="792">
        <f t="shared" si="62"/>
        <v>0</v>
      </c>
      <c r="M179" s="792">
        <f t="shared" si="62"/>
        <v>0</v>
      </c>
      <c r="N179" s="792">
        <f t="shared" si="62"/>
        <v>0</v>
      </c>
    </row>
    <row r="180" spans="1:14" ht="15.75" hidden="1">
      <c r="A180" s="507">
        <v>1</v>
      </c>
      <c r="B180" s="429" t="s">
        <v>131</v>
      </c>
      <c r="C180" s="819">
        <f t="shared" si="61"/>
        <v>38</v>
      </c>
      <c r="D180" s="803">
        <v>4</v>
      </c>
      <c r="E180" s="793">
        <f>SUM(F180:G180)</f>
        <v>34</v>
      </c>
      <c r="F180" s="863">
        <v>4</v>
      </c>
      <c r="G180" s="863">
        <v>30</v>
      </c>
      <c r="H180" s="863"/>
      <c r="I180" s="863">
        <v>0</v>
      </c>
      <c r="J180" s="863"/>
      <c r="K180" s="863"/>
      <c r="L180" s="863"/>
      <c r="M180" s="863"/>
      <c r="N180" s="863"/>
    </row>
    <row r="181" spans="1:14" ht="15.75" hidden="1">
      <c r="A181" s="507">
        <v>2</v>
      </c>
      <c r="B181" s="429" t="s">
        <v>132</v>
      </c>
      <c r="C181" s="819">
        <f t="shared" si="61"/>
        <v>90</v>
      </c>
      <c r="D181" s="803">
        <v>8</v>
      </c>
      <c r="E181" s="793">
        <f>SUM(F181:G181)</f>
        <v>38</v>
      </c>
      <c r="F181" s="863">
        <v>7</v>
      </c>
      <c r="G181" s="863">
        <v>31</v>
      </c>
      <c r="H181" s="863"/>
      <c r="I181" s="863">
        <v>44</v>
      </c>
      <c r="J181" s="863"/>
      <c r="K181" s="863"/>
      <c r="L181" s="863"/>
      <c r="M181" s="863"/>
      <c r="N181" s="863"/>
    </row>
    <row r="182" spans="1:14" ht="15.75" hidden="1">
      <c r="A182" s="508" t="s">
        <v>1</v>
      </c>
      <c r="B182" s="394" t="s">
        <v>133</v>
      </c>
      <c r="C182" s="819">
        <f t="shared" si="61"/>
        <v>2</v>
      </c>
      <c r="D182" s="803"/>
      <c r="E182" s="793">
        <f>SUM(F182:G182)</f>
        <v>2</v>
      </c>
      <c r="F182" s="863"/>
      <c r="G182" s="863">
        <v>2</v>
      </c>
      <c r="H182" s="863"/>
      <c r="I182" s="863"/>
      <c r="J182" s="863"/>
      <c r="K182" s="863"/>
      <c r="L182" s="863"/>
      <c r="M182" s="863"/>
      <c r="N182" s="820"/>
    </row>
    <row r="183" spans="1:14" ht="15" hidden="1">
      <c r="A183" s="508" t="s">
        <v>9</v>
      </c>
      <c r="B183" s="394" t="s">
        <v>134</v>
      </c>
      <c r="C183" s="819">
        <f t="shared" si="61"/>
        <v>0</v>
      </c>
      <c r="D183" s="795"/>
      <c r="E183" s="793">
        <f>SUM(F183:G183)</f>
        <v>0</v>
      </c>
      <c r="F183" s="820"/>
      <c r="G183" s="820"/>
      <c r="H183" s="820"/>
      <c r="I183" s="820"/>
      <c r="J183" s="820"/>
      <c r="K183" s="820"/>
      <c r="L183" s="820"/>
      <c r="M183" s="820"/>
      <c r="N183" s="820"/>
    </row>
    <row r="184" spans="1:14" ht="15" hidden="1">
      <c r="A184" s="508" t="s">
        <v>135</v>
      </c>
      <c r="B184" s="394" t="s">
        <v>136</v>
      </c>
      <c r="C184" s="791">
        <f t="shared" si="61"/>
        <v>126</v>
      </c>
      <c r="D184" s="792">
        <f>D179-SUM(D182,D183)</f>
        <v>12</v>
      </c>
      <c r="E184" s="792">
        <f>E179-SUM(E182,E183)</f>
        <v>70</v>
      </c>
      <c r="F184" s="792">
        <f aca="true" t="shared" si="63" ref="F184:M184">F179-SUM(F182,F183)</f>
        <v>11</v>
      </c>
      <c r="G184" s="792">
        <f t="shared" si="63"/>
        <v>59</v>
      </c>
      <c r="H184" s="792">
        <f t="shared" si="63"/>
        <v>0</v>
      </c>
      <c r="I184" s="792">
        <f t="shared" si="63"/>
        <v>44</v>
      </c>
      <c r="J184" s="792">
        <f t="shared" si="63"/>
        <v>0</v>
      </c>
      <c r="K184" s="792">
        <f t="shared" si="63"/>
        <v>0</v>
      </c>
      <c r="L184" s="792">
        <f t="shared" si="63"/>
        <v>0</v>
      </c>
      <c r="M184" s="792">
        <f t="shared" si="63"/>
        <v>0</v>
      </c>
      <c r="N184" s="792">
        <f>N179-SUM(N182,N183)</f>
        <v>0</v>
      </c>
    </row>
    <row r="185" spans="1:14" ht="15" hidden="1">
      <c r="A185" s="508" t="s">
        <v>51</v>
      </c>
      <c r="B185" s="430" t="s">
        <v>137</v>
      </c>
      <c r="C185" s="791">
        <f>C186+C187+C188+C189+C190+C191+C192</f>
        <v>96</v>
      </c>
      <c r="D185" s="791">
        <f aca="true" t="shared" si="64" ref="D185:N185">D186+D187+D188+D189+D190+D191+D192</f>
        <v>8</v>
      </c>
      <c r="E185" s="791">
        <f>E186+E187+E188+E189+E190+E191+E192</f>
        <v>44</v>
      </c>
      <c r="F185" s="791">
        <f>F186+F187+F188+F189+F190+F191+F192</f>
        <v>7</v>
      </c>
      <c r="G185" s="791">
        <f>G186+G187+G188+G189+G190+G191+G192</f>
        <v>37</v>
      </c>
      <c r="H185" s="791">
        <f t="shared" si="64"/>
        <v>0</v>
      </c>
      <c r="I185" s="791">
        <f t="shared" si="64"/>
        <v>44</v>
      </c>
      <c r="J185" s="791">
        <f t="shared" si="64"/>
        <v>0</v>
      </c>
      <c r="K185" s="791">
        <f t="shared" si="64"/>
        <v>0</v>
      </c>
      <c r="L185" s="791">
        <f t="shared" si="64"/>
        <v>0</v>
      </c>
      <c r="M185" s="791">
        <f t="shared" si="64"/>
        <v>0</v>
      </c>
      <c r="N185" s="791">
        <f t="shared" si="64"/>
        <v>0</v>
      </c>
    </row>
    <row r="186" spans="1:14" ht="15.75" hidden="1">
      <c r="A186" s="507" t="s">
        <v>53</v>
      </c>
      <c r="B186" s="429" t="s">
        <v>138</v>
      </c>
      <c r="C186" s="796">
        <f aca="true" t="shared" si="65" ref="C186:C192">SUM(D186,E186,H186:N186)</f>
        <v>72</v>
      </c>
      <c r="D186" s="803">
        <v>5</v>
      </c>
      <c r="E186" s="793">
        <f aca="true" t="shared" si="66" ref="E186:E192">SUM(F186:G186)</f>
        <v>31</v>
      </c>
      <c r="F186" s="863">
        <v>1</v>
      </c>
      <c r="G186" s="863">
        <v>30</v>
      </c>
      <c r="H186" s="863"/>
      <c r="I186" s="863">
        <v>36</v>
      </c>
      <c r="J186" s="863"/>
      <c r="K186" s="863"/>
      <c r="L186" s="863"/>
      <c r="M186" s="863"/>
      <c r="N186" s="863"/>
    </row>
    <row r="187" spans="1:14" ht="15.75" hidden="1">
      <c r="A187" s="507" t="s">
        <v>54</v>
      </c>
      <c r="B187" s="429" t="s">
        <v>139</v>
      </c>
      <c r="C187" s="796">
        <f t="shared" si="65"/>
        <v>0</v>
      </c>
      <c r="D187" s="803">
        <v>0</v>
      </c>
      <c r="E187" s="793">
        <f t="shared" si="66"/>
        <v>0</v>
      </c>
      <c r="F187" s="863">
        <v>0</v>
      </c>
      <c r="G187" s="863">
        <v>0</v>
      </c>
      <c r="H187" s="863"/>
      <c r="I187" s="863">
        <v>0</v>
      </c>
      <c r="J187" s="863"/>
      <c r="K187" s="863"/>
      <c r="L187" s="863"/>
      <c r="M187" s="863"/>
      <c r="N187" s="863"/>
    </row>
    <row r="188" spans="1:14" ht="15.75" hidden="1">
      <c r="A188" s="507" t="s">
        <v>140</v>
      </c>
      <c r="B188" s="429" t="s">
        <v>141</v>
      </c>
      <c r="C188" s="796">
        <f t="shared" si="65"/>
        <v>24</v>
      </c>
      <c r="D188" s="803">
        <v>3</v>
      </c>
      <c r="E188" s="793">
        <f t="shared" si="66"/>
        <v>13</v>
      </c>
      <c r="F188" s="863">
        <v>6</v>
      </c>
      <c r="G188" s="863">
        <v>7</v>
      </c>
      <c r="H188" s="863"/>
      <c r="I188" s="863">
        <v>8</v>
      </c>
      <c r="J188" s="863"/>
      <c r="K188" s="863"/>
      <c r="L188" s="863"/>
      <c r="M188" s="863"/>
      <c r="N188" s="863"/>
    </row>
    <row r="189" spans="1:14" ht="18.75" customHeight="1" hidden="1">
      <c r="A189" s="507" t="s">
        <v>142</v>
      </c>
      <c r="B189" s="429" t="s">
        <v>143</v>
      </c>
      <c r="C189" s="797">
        <f t="shared" si="65"/>
        <v>0</v>
      </c>
      <c r="D189" s="803"/>
      <c r="E189" s="798">
        <f t="shared" si="66"/>
        <v>0</v>
      </c>
      <c r="F189" s="863"/>
      <c r="G189" s="863"/>
      <c r="H189" s="863"/>
      <c r="I189" s="863"/>
      <c r="J189" s="863"/>
      <c r="K189" s="863"/>
      <c r="L189" s="863"/>
      <c r="M189" s="863"/>
      <c r="N189" s="863"/>
    </row>
    <row r="190" spans="1:14" ht="15.75" hidden="1">
      <c r="A190" s="507" t="s">
        <v>144</v>
      </c>
      <c r="B190" s="429" t="s">
        <v>145</v>
      </c>
      <c r="C190" s="796">
        <f t="shared" si="65"/>
        <v>0</v>
      </c>
      <c r="D190" s="803"/>
      <c r="E190" s="793">
        <f t="shared" si="66"/>
        <v>0</v>
      </c>
      <c r="F190" s="867"/>
      <c r="G190" s="867"/>
      <c r="H190" s="863"/>
      <c r="I190" s="863"/>
      <c r="J190" s="863"/>
      <c r="K190" s="863"/>
      <c r="L190" s="863"/>
      <c r="M190" s="863"/>
      <c r="N190" s="863">
        <v>0</v>
      </c>
    </row>
    <row r="191" spans="1:14" ht="25.5" hidden="1">
      <c r="A191" s="507" t="s">
        <v>146</v>
      </c>
      <c r="B191" s="431" t="s">
        <v>147</v>
      </c>
      <c r="C191" s="796">
        <f t="shared" si="65"/>
        <v>0</v>
      </c>
      <c r="D191" s="803"/>
      <c r="E191" s="793">
        <f t="shared" si="66"/>
        <v>0</v>
      </c>
      <c r="F191" s="863"/>
      <c r="G191" s="863"/>
      <c r="H191" s="863"/>
      <c r="I191" s="863"/>
      <c r="J191" s="863"/>
      <c r="K191" s="863"/>
      <c r="L191" s="863"/>
      <c r="M191" s="863"/>
      <c r="N191" s="863"/>
    </row>
    <row r="192" spans="1:14" ht="15.75" hidden="1">
      <c r="A192" s="507" t="s">
        <v>148</v>
      </c>
      <c r="B192" s="429" t="s">
        <v>149</v>
      </c>
      <c r="C192" s="796">
        <f t="shared" si="65"/>
        <v>0</v>
      </c>
      <c r="D192" s="803"/>
      <c r="E192" s="793">
        <f t="shared" si="66"/>
        <v>0</v>
      </c>
      <c r="F192" s="406">
        <f>0+0+0</f>
        <v>0</v>
      </c>
      <c r="G192" s="820"/>
      <c r="H192" s="820">
        <f>0+0+0</f>
        <v>0</v>
      </c>
      <c r="I192" s="820"/>
      <c r="J192" s="820"/>
      <c r="K192" s="820"/>
      <c r="L192" s="820"/>
      <c r="M192" s="820"/>
      <c r="N192" s="820"/>
    </row>
    <row r="193" spans="1:14" ht="15" hidden="1">
      <c r="A193" s="508" t="s">
        <v>52</v>
      </c>
      <c r="B193" s="394" t="s">
        <v>150</v>
      </c>
      <c r="C193" s="791">
        <f>SUM(D193,E193,H193:N193)</f>
        <v>30</v>
      </c>
      <c r="D193" s="791">
        <f>D184-D185</f>
        <v>4</v>
      </c>
      <c r="E193" s="792">
        <f>SUM(F193:G193)</f>
        <v>26</v>
      </c>
      <c r="F193" s="791">
        <f aca="true" t="shared" si="67" ref="F193:N193">F184-F185</f>
        <v>4</v>
      </c>
      <c r="G193" s="791">
        <f t="shared" si="67"/>
        <v>22</v>
      </c>
      <c r="H193" s="791">
        <f t="shared" si="67"/>
        <v>0</v>
      </c>
      <c r="I193" s="791">
        <f t="shared" si="67"/>
        <v>0</v>
      </c>
      <c r="J193" s="791">
        <f t="shared" si="67"/>
        <v>0</v>
      </c>
      <c r="K193" s="791">
        <f t="shared" si="67"/>
        <v>0</v>
      </c>
      <c r="L193" s="791">
        <f t="shared" si="67"/>
        <v>0</v>
      </c>
      <c r="M193" s="791">
        <f t="shared" si="67"/>
        <v>0</v>
      </c>
      <c r="N193" s="791">
        <f t="shared" si="67"/>
        <v>0</v>
      </c>
    </row>
    <row r="194" spans="1:14" ht="25.5" hidden="1">
      <c r="A194" s="508" t="s">
        <v>538</v>
      </c>
      <c r="B194" s="432" t="s">
        <v>151</v>
      </c>
      <c r="C194" s="413">
        <f>(C186+C187)/C185</f>
        <v>0.75</v>
      </c>
      <c r="D194" s="413">
        <f aca="true" t="shared" si="68" ref="D194:N194">(D186+C187)/D185</f>
        <v>0.625</v>
      </c>
      <c r="E194" s="413">
        <f t="shared" si="68"/>
        <v>0.7045454545454546</v>
      </c>
      <c r="F194" s="413">
        <f t="shared" si="68"/>
        <v>0.14285714285714285</v>
      </c>
      <c r="G194" s="413">
        <f t="shared" si="68"/>
        <v>0.8108108108108109</v>
      </c>
      <c r="H194" s="413" t="e">
        <f t="shared" si="68"/>
        <v>#DIV/0!</v>
      </c>
      <c r="I194" s="413">
        <f t="shared" si="68"/>
        <v>0.8181818181818182</v>
      </c>
      <c r="J194" s="413" t="e">
        <f t="shared" si="68"/>
        <v>#DIV/0!</v>
      </c>
      <c r="K194" s="413" t="e">
        <f t="shared" si="68"/>
        <v>#DIV/0!</v>
      </c>
      <c r="L194" s="413" t="e">
        <f t="shared" si="68"/>
        <v>#DIV/0!</v>
      </c>
      <c r="M194" s="413" t="e">
        <f t="shared" si="68"/>
        <v>#DIV/0!</v>
      </c>
      <c r="N194" s="413" t="e">
        <f t="shared" si="68"/>
        <v>#DIV/0!</v>
      </c>
    </row>
    <row r="195" ht="26.25" customHeight="1" hidden="1"/>
    <row r="196" ht="29.25" customHeight="1" hidden="1"/>
    <row r="197" ht="21.75" customHeight="1" hidden="1">
      <c r="B197" s="388" t="s">
        <v>736</v>
      </c>
    </row>
    <row r="198" spans="1:14" ht="15" customHeight="1" hidden="1">
      <c r="A198" s="1573" t="s">
        <v>68</v>
      </c>
      <c r="B198" s="1574"/>
      <c r="C198" s="1579" t="s">
        <v>37</v>
      </c>
      <c r="D198" s="1582" t="s">
        <v>335</v>
      </c>
      <c r="E198" s="1583"/>
      <c r="F198" s="1583"/>
      <c r="G198" s="1583"/>
      <c r="H198" s="1583"/>
      <c r="I198" s="1583"/>
      <c r="J198" s="1583"/>
      <c r="K198" s="1583"/>
      <c r="L198" s="1583"/>
      <c r="M198" s="1583"/>
      <c r="N198" s="1584"/>
    </row>
    <row r="199" spans="1:14" ht="1.5" customHeight="1" hidden="1">
      <c r="A199" s="1575"/>
      <c r="B199" s="1576"/>
      <c r="C199" s="1580"/>
      <c r="D199" s="1585" t="s">
        <v>119</v>
      </c>
      <c r="E199" s="1571" t="s">
        <v>120</v>
      </c>
      <c r="F199" s="1588"/>
      <c r="G199" s="1572"/>
      <c r="H199" s="1568" t="s">
        <v>121</v>
      </c>
      <c r="I199" s="1568" t="s">
        <v>122</v>
      </c>
      <c r="J199" s="1568" t="s">
        <v>123</v>
      </c>
      <c r="K199" s="1568" t="s">
        <v>124</v>
      </c>
      <c r="L199" s="1568" t="s">
        <v>125</v>
      </c>
      <c r="M199" s="1568" t="s">
        <v>126</v>
      </c>
      <c r="N199" s="1568" t="s">
        <v>127</v>
      </c>
    </row>
    <row r="200" spans="1:14" ht="15" hidden="1">
      <c r="A200" s="1575"/>
      <c r="B200" s="1576"/>
      <c r="C200" s="1580"/>
      <c r="D200" s="1586"/>
      <c r="E200" s="1568" t="s">
        <v>36</v>
      </c>
      <c r="F200" s="1571" t="s">
        <v>7</v>
      </c>
      <c r="G200" s="1572"/>
      <c r="H200" s="1569"/>
      <c r="I200" s="1569"/>
      <c r="J200" s="1569"/>
      <c r="K200" s="1569"/>
      <c r="L200" s="1569"/>
      <c r="M200" s="1569"/>
      <c r="N200" s="1569"/>
    </row>
    <row r="201" spans="1:14" ht="15" hidden="1">
      <c r="A201" s="1577"/>
      <c r="B201" s="1578"/>
      <c r="C201" s="1581"/>
      <c r="D201" s="1587"/>
      <c r="E201" s="1570"/>
      <c r="F201" s="559" t="s">
        <v>199</v>
      </c>
      <c r="G201" s="560" t="s">
        <v>200</v>
      </c>
      <c r="H201" s="1570"/>
      <c r="I201" s="1570"/>
      <c r="J201" s="1570"/>
      <c r="K201" s="1570"/>
      <c r="L201" s="1570"/>
      <c r="M201" s="1570"/>
      <c r="N201" s="1570"/>
    </row>
    <row r="202" spans="1:14" ht="15" hidden="1">
      <c r="A202" s="1566" t="s">
        <v>39</v>
      </c>
      <c r="B202" s="1567"/>
      <c r="C202" s="505">
        <v>1</v>
      </c>
      <c r="D202" s="505">
        <v>2</v>
      </c>
      <c r="E202" s="505">
        <v>3</v>
      </c>
      <c r="F202" s="505">
        <v>4</v>
      </c>
      <c r="G202" s="505">
        <v>5</v>
      </c>
      <c r="H202" s="505">
        <v>6</v>
      </c>
      <c r="I202" s="505">
        <v>7</v>
      </c>
      <c r="J202" s="505">
        <v>8</v>
      </c>
      <c r="K202" s="505">
        <v>9</v>
      </c>
      <c r="L202" s="505">
        <v>10</v>
      </c>
      <c r="M202" s="505">
        <v>11</v>
      </c>
      <c r="N202" s="505">
        <v>12</v>
      </c>
    </row>
    <row r="203" spans="1:14" ht="15" hidden="1">
      <c r="A203" s="506" t="s">
        <v>0</v>
      </c>
      <c r="B203" s="427" t="s">
        <v>130</v>
      </c>
      <c r="C203" s="791">
        <f aca="true" t="shared" si="69" ref="C203:C208">SUM(D203,E203,H203:N203)</f>
        <v>38</v>
      </c>
      <c r="D203" s="792">
        <f aca="true" t="shared" si="70" ref="D203:N203">SUM(D204:D205)</f>
        <v>7</v>
      </c>
      <c r="E203" s="792">
        <f t="shared" si="70"/>
        <v>22</v>
      </c>
      <c r="F203" s="792">
        <f t="shared" si="70"/>
        <v>0</v>
      </c>
      <c r="G203" s="792">
        <f t="shared" si="70"/>
        <v>22</v>
      </c>
      <c r="H203" s="792">
        <f t="shared" si="70"/>
        <v>0</v>
      </c>
      <c r="I203" s="792">
        <f t="shared" si="70"/>
        <v>9</v>
      </c>
      <c r="J203" s="792">
        <f t="shared" si="70"/>
        <v>0</v>
      </c>
      <c r="K203" s="792">
        <f t="shared" si="70"/>
        <v>0</v>
      </c>
      <c r="L203" s="792">
        <f t="shared" si="70"/>
        <v>0</v>
      </c>
      <c r="M203" s="792">
        <f t="shared" si="70"/>
        <v>0</v>
      </c>
      <c r="N203" s="792">
        <f t="shared" si="70"/>
        <v>0</v>
      </c>
    </row>
    <row r="204" spans="1:14" ht="15.75" hidden="1">
      <c r="A204" s="507">
        <v>1</v>
      </c>
      <c r="B204" s="429" t="s">
        <v>131</v>
      </c>
      <c r="C204" s="819">
        <f t="shared" si="69"/>
        <v>10</v>
      </c>
      <c r="D204" s="981">
        <v>3</v>
      </c>
      <c r="E204" s="793">
        <f>SUM(F204:G204)</f>
        <v>7</v>
      </c>
      <c r="F204" s="981">
        <v>0</v>
      </c>
      <c r="G204" s="981">
        <v>7</v>
      </c>
      <c r="H204" s="981">
        <v>0</v>
      </c>
      <c r="I204" s="981">
        <v>0</v>
      </c>
      <c r="J204" s="981">
        <v>0</v>
      </c>
      <c r="K204" s="981">
        <v>0</v>
      </c>
      <c r="L204" s="981">
        <v>0</v>
      </c>
      <c r="M204" s="981"/>
      <c r="N204" s="981"/>
    </row>
    <row r="205" spans="1:14" ht="15.75" hidden="1">
      <c r="A205" s="507">
        <v>2</v>
      </c>
      <c r="B205" s="429" t="s">
        <v>132</v>
      </c>
      <c r="C205" s="819">
        <f t="shared" si="69"/>
        <v>28</v>
      </c>
      <c r="D205" s="874">
        <v>4</v>
      </c>
      <c r="E205" s="793">
        <f>SUM(F205:G205)</f>
        <v>15</v>
      </c>
      <c r="F205" s="874">
        <v>0</v>
      </c>
      <c r="G205" s="874">
        <v>15</v>
      </c>
      <c r="H205" s="874">
        <v>0</v>
      </c>
      <c r="I205" s="874">
        <v>9</v>
      </c>
      <c r="J205" s="874">
        <v>0</v>
      </c>
      <c r="K205" s="874">
        <v>0</v>
      </c>
      <c r="L205" s="874">
        <v>0</v>
      </c>
      <c r="M205" s="874"/>
      <c r="N205" s="874"/>
    </row>
    <row r="206" spans="1:14" ht="15.75" hidden="1">
      <c r="A206" s="508" t="s">
        <v>1</v>
      </c>
      <c r="B206" s="394" t="s">
        <v>133</v>
      </c>
      <c r="C206" s="819">
        <f t="shared" si="69"/>
        <v>0</v>
      </c>
      <c r="D206" s="874">
        <v>0</v>
      </c>
      <c r="E206" s="793">
        <f>SUM(F206:G206)</f>
        <v>0</v>
      </c>
      <c r="F206" s="874">
        <v>0</v>
      </c>
      <c r="G206" s="874">
        <v>0</v>
      </c>
      <c r="H206" s="874">
        <v>0</v>
      </c>
      <c r="I206" s="874">
        <v>0</v>
      </c>
      <c r="J206" s="874">
        <v>0</v>
      </c>
      <c r="K206" s="874">
        <v>0</v>
      </c>
      <c r="L206" s="874">
        <v>0</v>
      </c>
      <c r="M206" s="820"/>
      <c r="N206" s="820"/>
    </row>
    <row r="207" spans="1:14" ht="15" hidden="1">
      <c r="A207" s="508" t="s">
        <v>9</v>
      </c>
      <c r="B207" s="394" t="s">
        <v>134</v>
      </c>
      <c r="C207" s="819">
        <f t="shared" si="69"/>
        <v>0</v>
      </c>
      <c r="D207" s="795"/>
      <c r="E207" s="793">
        <f>SUM(F207:G207)</f>
        <v>0</v>
      </c>
      <c r="F207" s="820"/>
      <c r="G207" s="820"/>
      <c r="H207" s="820"/>
      <c r="I207" s="820"/>
      <c r="J207" s="820"/>
      <c r="K207" s="820"/>
      <c r="L207" s="820"/>
      <c r="M207" s="820"/>
      <c r="N207" s="820"/>
    </row>
    <row r="208" spans="1:14" ht="15" hidden="1">
      <c r="A208" s="508" t="s">
        <v>135</v>
      </c>
      <c r="B208" s="394" t="s">
        <v>136</v>
      </c>
      <c r="C208" s="791">
        <f t="shared" si="69"/>
        <v>38</v>
      </c>
      <c r="D208" s="792">
        <f>D203-SUM(D206,D207)</f>
        <v>7</v>
      </c>
      <c r="E208" s="792">
        <f>E203-SUM(E206,E207)</f>
        <v>22</v>
      </c>
      <c r="F208" s="792">
        <f aca="true" t="shared" si="71" ref="F208:M208">F203-SUM(F206,F207)</f>
        <v>0</v>
      </c>
      <c r="G208" s="792">
        <f t="shared" si="71"/>
        <v>22</v>
      </c>
      <c r="H208" s="792">
        <f t="shared" si="71"/>
        <v>0</v>
      </c>
      <c r="I208" s="792">
        <f t="shared" si="71"/>
        <v>9</v>
      </c>
      <c r="J208" s="792">
        <f t="shared" si="71"/>
        <v>0</v>
      </c>
      <c r="K208" s="792">
        <f t="shared" si="71"/>
        <v>0</v>
      </c>
      <c r="L208" s="792">
        <f t="shared" si="71"/>
        <v>0</v>
      </c>
      <c r="M208" s="792">
        <f t="shared" si="71"/>
        <v>0</v>
      </c>
      <c r="N208" s="792">
        <f>N203-SUM(N206,N207)</f>
        <v>0</v>
      </c>
    </row>
    <row r="209" spans="1:14" ht="15" hidden="1">
      <c r="A209" s="508" t="s">
        <v>51</v>
      </c>
      <c r="B209" s="430" t="s">
        <v>137</v>
      </c>
      <c r="C209" s="791">
        <f>C210+C211+C212+C213+C214+C215+C216</f>
        <v>27</v>
      </c>
      <c r="D209" s="791">
        <f>D210+D211+D212+D213+D214+D215+D216</f>
        <v>5</v>
      </c>
      <c r="E209" s="791">
        <f>E210+E211+E212+E213+E214+E215+E216</f>
        <v>13</v>
      </c>
      <c r="F209" s="791">
        <f>F210+F211+F212+F213+F214+F215+F216</f>
        <v>0</v>
      </c>
      <c r="G209" s="791">
        <f>G210+G211+G212+G213+G214+G215+G216</f>
        <v>13</v>
      </c>
      <c r="H209" s="791">
        <f aca="true" t="shared" si="72" ref="H209:N209">H210+H211+H212+H213+H214+H215+H216</f>
        <v>0</v>
      </c>
      <c r="I209" s="791">
        <f t="shared" si="72"/>
        <v>9</v>
      </c>
      <c r="J209" s="791">
        <f t="shared" si="72"/>
        <v>0</v>
      </c>
      <c r="K209" s="791">
        <f t="shared" si="72"/>
        <v>0</v>
      </c>
      <c r="L209" s="791">
        <f t="shared" si="72"/>
        <v>0</v>
      </c>
      <c r="M209" s="791">
        <f t="shared" si="72"/>
        <v>0</v>
      </c>
      <c r="N209" s="791">
        <f t="shared" si="72"/>
        <v>0</v>
      </c>
    </row>
    <row r="210" spans="1:14" ht="15.75" hidden="1">
      <c r="A210" s="507" t="s">
        <v>53</v>
      </c>
      <c r="B210" s="429" t="s">
        <v>138</v>
      </c>
      <c r="C210" s="796">
        <f aca="true" t="shared" si="73" ref="C210:C216">SUM(D210,E210,H210:N210)</f>
        <v>20</v>
      </c>
      <c r="D210" s="887">
        <v>3</v>
      </c>
      <c r="E210" s="793">
        <f aca="true" t="shared" si="74" ref="E210:E216">SUM(F210:G210)</f>
        <v>10</v>
      </c>
      <c r="F210" s="887"/>
      <c r="G210" s="887">
        <v>10</v>
      </c>
      <c r="H210" s="887">
        <v>0</v>
      </c>
      <c r="I210" s="887">
        <v>7</v>
      </c>
      <c r="J210" s="887">
        <v>0</v>
      </c>
      <c r="K210" s="887">
        <v>0</v>
      </c>
      <c r="L210" s="887">
        <v>0</v>
      </c>
      <c r="M210" s="887">
        <v>0</v>
      </c>
      <c r="N210" s="863"/>
    </row>
    <row r="211" spans="1:14" ht="15.75" hidden="1">
      <c r="A211" s="507" t="s">
        <v>54</v>
      </c>
      <c r="B211" s="429" t="s">
        <v>139</v>
      </c>
      <c r="C211" s="796">
        <f t="shared" si="73"/>
        <v>1</v>
      </c>
      <c r="D211" s="887">
        <v>0</v>
      </c>
      <c r="E211" s="793">
        <f t="shared" si="74"/>
        <v>1</v>
      </c>
      <c r="F211" s="887">
        <v>0</v>
      </c>
      <c r="G211" s="887">
        <v>1</v>
      </c>
      <c r="H211" s="887">
        <v>0</v>
      </c>
      <c r="I211" s="887">
        <v>0</v>
      </c>
      <c r="J211" s="887">
        <v>0</v>
      </c>
      <c r="K211" s="887">
        <v>0</v>
      </c>
      <c r="L211" s="887">
        <v>0</v>
      </c>
      <c r="M211" s="887">
        <v>0</v>
      </c>
      <c r="N211" s="863"/>
    </row>
    <row r="212" spans="1:14" ht="15.75" hidden="1">
      <c r="A212" s="507" t="s">
        <v>140</v>
      </c>
      <c r="B212" s="429" t="s">
        <v>141</v>
      </c>
      <c r="C212" s="796">
        <f t="shared" si="73"/>
        <v>6</v>
      </c>
      <c r="D212" s="874">
        <v>2</v>
      </c>
      <c r="E212" s="793">
        <f t="shared" si="74"/>
        <v>2</v>
      </c>
      <c r="F212" s="874">
        <v>0</v>
      </c>
      <c r="G212" s="874">
        <v>2</v>
      </c>
      <c r="H212" s="887"/>
      <c r="I212" s="1110">
        <v>2</v>
      </c>
      <c r="J212" s="887">
        <v>0</v>
      </c>
      <c r="K212" s="887">
        <v>0</v>
      </c>
      <c r="L212" s="887">
        <v>0</v>
      </c>
      <c r="M212" s="887">
        <v>0</v>
      </c>
      <c r="N212" s="863"/>
    </row>
    <row r="213" spans="1:14" ht="19.5" customHeight="1" hidden="1">
      <c r="A213" s="507" t="s">
        <v>142</v>
      </c>
      <c r="B213" s="429" t="s">
        <v>143</v>
      </c>
      <c r="C213" s="797">
        <f t="shared" si="73"/>
        <v>0</v>
      </c>
      <c r="D213" s="887"/>
      <c r="E213" s="798">
        <f t="shared" si="74"/>
        <v>0</v>
      </c>
      <c r="F213" s="887"/>
      <c r="G213" s="887"/>
      <c r="H213" s="887"/>
      <c r="I213" s="887"/>
      <c r="J213" s="887"/>
      <c r="K213" s="887"/>
      <c r="L213" s="887"/>
      <c r="M213" s="863"/>
      <c r="N213" s="863"/>
    </row>
    <row r="214" spans="1:14" ht="15.75" hidden="1">
      <c r="A214" s="507" t="s">
        <v>144</v>
      </c>
      <c r="B214" s="429" t="s">
        <v>145</v>
      </c>
      <c r="C214" s="796">
        <f t="shared" si="73"/>
        <v>0</v>
      </c>
      <c r="D214" s="803"/>
      <c r="E214" s="793">
        <f t="shared" si="74"/>
        <v>0</v>
      </c>
      <c r="F214" s="867"/>
      <c r="G214" s="867"/>
      <c r="H214" s="863"/>
      <c r="I214" s="863"/>
      <c r="J214" s="863"/>
      <c r="K214" s="863"/>
      <c r="L214" s="863"/>
      <c r="M214" s="863"/>
      <c r="N214" s="863">
        <v>0</v>
      </c>
    </row>
    <row r="215" spans="1:14" ht="12.75" customHeight="1" hidden="1">
      <c r="A215" s="507" t="s">
        <v>146</v>
      </c>
      <c r="B215" s="431" t="s">
        <v>147</v>
      </c>
      <c r="C215" s="796">
        <f t="shared" si="73"/>
        <v>0</v>
      </c>
      <c r="D215" s="803"/>
      <c r="E215" s="793">
        <f t="shared" si="74"/>
        <v>0</v>
      </c>
      <c r="F215" s="863"/>
      <c r="G215" s="863"/>
      <c r="H215" s="863"/>
      <c r="I215" s="863"/>
      <c r="J215" s="863"/>
      <c r="K215" s="863"/>
      <c r="L215" s="863"/>
      <c r="M215" s="863"/>
      <c r="N215" s="863"/>
    </row>
    <row r="216" spans="1:14" ht="15.75" hidden="1">
      <c r="A216" s="507" t="s">
        <v>148</v>
      </c>
      <c r="B216" s="429" t="s">
        <v>149</v>
      </c>
      <c r="C216" s="796">
        <f t="shared" si="73"/>
        <v>0</v>
      </c>
      <c r="D216" s="803"/>
      <c r="E216" s="793">
        <f t="shared" si="74"/>
        <v>0</v>
      </c>
      <c r="F216" s="406">
        <f>0+0+0</f>
        <v>0</v>
      </c>
      <c r="G216" s="820"/>
      <c r="H216" s="820">
        <f>0+0+0</f>
        <v>0</v>
      </c>
      <c r="I216" s="820"/>
      <c r="J216" s="820"/>
      <c r="K216" s="820"/>
      <c r="L216" s="820"/>
      <c r="M216" s="820"/>
      <c r="N216" s="820"/>
    </row>
    <row r="217" spans="1:14" ht="15" hidden="1">
      <c r="A217" s="508" t="s">
        <v>52</v>
      </c>
      <c r="B217" s="394" t="s">
        <v>150</v>
      </c>
      <c r="C217" s="791">
        <f>SUM(D217,E217,H217:N217)</f>
        <v>11</v>
      </c>
      <c r="D217" s="791">
        <f>D208-D209</f>
        <v>2</v>
      </c>
      <c r="E217" s="792">
        <f>SUM(F217:G217)</f>
        <v>9</v>
      </c>
      <c r="F217" s="791">
        <f aca="true" t="shared" si="75" ref="F217:N217">F208-F209</f>
        <v>0</v>
      </c>
      <c r="G217" s="791">
        <f t="shared" si="75"/>
        <v>9</v>
      </c>
      <c r="H217" s="791">
        <f t="shared" si="75"/>
        <v>0</v>
      </c>
      <c r="I217" s="791">
        <f t="shared" si="75"/>
        <v>0</v>
      </c>
      <c r="J217" s="791">
        <f t="shared" si="75"/>
        <v>0</v>
      </c>
      <c r="K217" s="791">
        <f t="shared" si="75"/>
        <v>0</v>
      </c>
      <c r="L217" s="791">
        <f t="shared" si="75"/>
        <v>0</v>
      </c>
      <c r="M217" s="791">
        <f t="shared" si="75"/>
        <v>0</v>
      </c>
      <c r="N217" s="791">
        <f t="shared" si="75"/>
        <v>0</v>
      </c>
    </row>
    <row r="218" spans="1:14" ht="25.5" hidden="1">
      <c r="A218" s="508" t="s">
        <v>538</v>
      </c>
      <c r="B218" s="432" t="s">
        <v>151</v>
      </c>
      <c r="C218" s="413">
        <f>(C210+C211)/C209</f>
        <v>0.7777777777777778</v>
      </c>
      <c r="D218" s="413">
        <f aca="true" t="shared" si="76" ref="D218:N218">(D210+C211)/D209</f>
        <v>0.8</v>
      </c>
      <c r="E218" s="413">
        <f t="shared" si="76"/>
        <v>0.7692307692307693</v>
      </c>
      <c r="F218" s="413" t="e">
        <f t="shared" si="76"/>
        <v>#DIV/0!</v>
      </c>
      <c r="G218" s="413">
        <f t="shared" si="76"/>
        <v>0.7692307692307693</v>
      </c>
      <c r="H218" s="413" t="e">
        <f t="shared" si="76"/>
        <v>#DIV/0!</v>
      </c>
      <c r="I218" s="413">
        <f t="shared" si="76"/>
        <v>0.7777777777777778</v>
      </c>
      <c r="J218" s="413" t="e">
        <f t="shared" si="76"/>
        <v>#DIV/0!</v>
      </c>
      <c r="K218" s="413" t="e">
        <f t="shared" si="76"/>
        <v>#DIV/0!</v>
      </c>
      <c r="L218" s="413" t="e">
        <f t="shared" si="76"/>
        <v>#DIV/0!</v>
      </c>
      <c r="M218" s="413" t="e">
        <f t="shared" si="76"/>
        <v>#DIV/0!</v>
      </c>
      <c r="N218" s="413" t="e">
        <f t="shared" si="76"/>
        <v>#DIV/0!</v>
      </c>
    </row>
  </sheetData>
  <sheetProtection/>
  <mergeCells count="145">
    <mergeCell ref="A1:B1"/>
    <mergeCell ref="D1:K1"/>
    <mergeCell ref="L1:N1"/>
    <mergeCell ref="D2:K2"/>
    <mergeCell ref="L2:N2"/>
    <mergeCell ref="O8:P8"/>
    <mergeCell ref="J7:J9"/>
    <mergeCell ref="K7:K9"/>
    <mergeCell ref="F8:G8"/>
    <mergeCell ref="H7:H9"/>
    <mergeCell ref="E7:G7"/>
    <mergeCell ref="A10:B10"/>
    <mergeCell ref="M7:M9"/>
    <mergeCell ref="N7:N9"/>
    <mergeCell ref="E8:E9"/>
    <mergeCell ref="L7:L9"/>
    <mergeCell ref="A6:B9"/>
    <mergeCell ref="C6:C9"/>
    <mergeCell ref="F37:G37"/>
    <mergeCell ref="H36:H38"/>
    <mergeCell ref="I36:I38"/>
    <mergeCell ref="L3:N3"/>
    <mergeCell ref="L4:N4"/>
    <mergeCell ref="L5:N5"/>
    <mergeCell ref="I7:I9"/>
    <mergeCell ref="D3:K3"/>
    <mergeCell ref="D6:N6"/>
    <mergeCell ref="D7:D9"/>
    <mergeCell ref="N59:N61"/>
    <mergeCell ref="L59:L61"/>
    <mergeCell ref="M59:M61"/>
    <mergeCell ref="A35:B38"/>
    <mergeCell ref="C35:C38"/>
    <mergeCell ref="D35:N35"/>
    <mergeCell ref="D36:D38"/>
    <mergeCell ref="E36:G36"/>
    <mergeCell ref="N36:N38"/>
    <mergeCell ref="E37:E38"/>
    <mergeCell ref="J36:J38"/>
    <mergeCell ref="K36:K38"/>
    <mergeCell ref="L36:L38"/>
    <mergeCell ref="M36:M38"/>
    <mergeCell ref="A39:B39"/>
    <mergeCell ref="A58:B61"/>
    <mergeCell ref="C58:C61"/>
    <mergeCell ref="D58:N58"/>
    <mergeCell ref="D59:D61"/>
    <mergeCell ref="E59:G59"/>
    <mergeCell ref="A62:B62"/>
    <mergeCell ref="A81:B84"/>
    <mergeCell ref="C81:C84"/>
    <mergeCell ref="D81:N81"/>
    <mergeCell ref="D82:D84"/>
    <mergeCell ref="E82:G82"/>
    <mergeCell ref="H82:H84"/>
    <mergeCell ref="I82:I84"/>
    <mergeCell ref="N82:N84"/>
    <mergeCell ref="E83:E84"/>
    <mergeCell ref="J59:J61"/>
    <mergeCell ref="K59:K61"/>
    <mergeCell ref="J82:J84"/>
    <mergeCell ref="K82:K84"/>
    <mergeCell ref="F83:G83"/>
    <mergeCell ref="E60:E61"/>
    <mergeCell ref="F60:G60"/>
    <mergeCell ref="I59:I61"/>
    <mergeCell ref="H59:H61"/>
    <mergeCell ref="L82:L84"/>
    <mergeCell ref="M82:M84"/>
    <mergeCell ref="D104:N104"/>
    <mergeCell ref="D105:D107"/>
    <mergeCell ref="E105:G105"/>
    <mergeCell ref="H105:H107"/>
    <mergeCell ref="I105:I107"/>
    <mergeCell ref="J105:J107"/>
    <mergeCell ref="K105:K107"/>
    <mergeCell ref="N105:N107"/>
    <mergeCell ref="E106:E107"/>
    <mergeCell ref="F106:G106"/>
    <mergeCell ref="A108:B108"/>
    <mergeCell ref="A85:B85"/>
    <mergeCell ref="A104:B107"/>
    <mergeCell ref="C104:C107"/>
    <mergeCell ref="I128:I130"/>
    <mergeCell ref="J128:J130"/>
    <mergeCell ref="K128:K130"/>
    <mergeCell ref="L128:L130"/>
    <mergeCell ref="L105:L107"/>
    <mergeCell ref="M105:M107"/>
    <mergeCell ref="M128:M130"/>
    <mergeCell ref="M151:M153"/>
    <mergeCell ref="L151:L153"/>
    <mergeCell ref="N151:N153"/>
    <mergeCell ref="E152:E153"/>
    <mergeCell ref="A127:B130"/>
    <mergeCell ref="C127:C130"/>
    <mergeCell ref="D127:N127"/>
    <mergeCell ref="D128:D130"/>
    <mergeCell ref="E128:G128"/>
    <mergeCell ref="H128:H130"/>
    <mergeCell ref="N128:N130"/>
    <mergeCell ref="E129:E130"/>
    <mergeCell ref="F129:G129"/>
    <mergeCell ref="A131:B131"/>
    <mergeCell ref="A150:B153"/>
    <mergeCell ref="C150:C153"/>
    <mergeCell ref="D150:N150"/>
    <mergeCell ref="D151:D153"/>
    <mergeCell ref="E151:G151"/>
    <mergeCell ref="K151:K153"/>
    <mergeCell ref="A154:B154"/>
    <mergeCell ref="A174:B177"/>
    <mergeCell ref="C174:C177"/>
    <mergeCell ref="D174:N174"/>
    <mergeCell ref="D175:D177"/>
    <mergeCell ref="E175:G175"/>
    <mergeCell ref="M175:M177"/>
    <mergeCell ref="N175:N177"/>
    <mergeCell ref="L175:L177"/>
    <mergeCell ref="E176:E177"/>
    <mergeCell ref="I175:I177"/>
    <mergeCell ref="J175:J177"/>
    <mergeCell ref="K175:K177"/>
    <mergeCell ref="F152:G152"/>
    <mergeCell ref="H151:H153"/>
    <mergeCell ref="I151:I153"/>
    <mergeCell ref="J151:J153"/>
    <mergeCell ref="F176:G176"/>
    <mergeCell ref="H175:H177"/>
    <mergeCell ref="A178:B178"/>
    <mergeCell ref="A198:B201"/>
    <mergeCell ref="C198:C201"/>
    <mergeCell ref="D198:N198"/>
    <mergeCell ref="D199:D201"/>
    <mergeCell ref="E199:G199"/>
    <mergeCell ref="H199:H201"/>
    <mergeCell ref="I199:I201"/>
    <mergeCell ref="A202:B202"/>
    <mergeCell ref="J199:J201"/>
    <mergeCell ref="K199:K201"/>
    <mergeCell ref="L199:L201"/>
    <mergeCell ref="M199:M201"/>
    <mergeCell ref="N199:N201"/>
    <mergeCell ref="E200:E201"/>
    <mergeCell ref="F200:G200"/>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80" zoomScaleNormal="80" zoomScaleSheetLayoutView="100" zoomScalePageLayoutView="0" workbookViewId="0" topLeftCell="A1">
      <selection activeCell="C21" sqref="C21"/>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608" t="s">
        <v>181</v>
      </c>
      <c r="B1" s="1609"/>
      <c r="C1" s="1609"/>
    </row>
    <row r="2" spans="1:3" ht="21.75" customHeight="1">
      <c r="A2" s="1610" t="s">
        <v>69</v>
      </c>
      <c r="B2" s="1610"/>
      <c r="C2" s="503" t="s">
        <v>339</v>
      </c>
    </row>
    <row r="3" spans="1:3" ht="21.75" customHeight="1">
      <c r="A3" s="1607" t="s">
        <v>6</v>
      </c>
      <c r="B3" s="1607"/>
      <c r="C3" s="5">
        <v>1</v>
      </c>
    </row>
    <row r="4" spans="1:3" ht="17.25" customHeight="1">
      <c r="A4" s="395" t="s">
        <v>51</v>
      </c>
      <c r="B4" s="519" t="s">
        <v>549</v>
      </c>
      <c r="C4" s="504">
        <f>C5+C6+C7+C8+C9+C10+C11</f>
        <v>11</v>
      </c>
    </row>
    <row r="5" spans="1:3" s="6" customFormat="1" ht="17.25" customHeight="1">
      <c r="A5" s="5" t="s">
        <v>53</v>
      </c>
      <c r="B5" s="520" t="s">
        <v>152</v>
      </c>
      <c r="C5" s="39"/>
    </row>
    <row r="6" spans="1:3" s="6" customFormat="1" ht="17.25" customHeight="1">
      <c r="A6" s="5" t="s">
        <v>54</v>
      </c>
      <c r="B6" s="520" t="s">
        <v>153</v>
      </c>
      <c r="C6" s="39"/>
    </row>
    <row r="7" spans="1:3" s="6" customFormat="1" ht="17.25" customHeight="1">
      <c r="A7" s="5" t="s">
        <v>140</v>
      </c>
      <c r="B7" s="520" t="s">
        <v>154</v>
      </c>
      <c r="C7" s="39">
        <f>7+4</f>
        <v>11</v>
      </c>
    </row>
    <row r="8" spans="1:3" s="6" customFormat="1" ht="17.25" customHeight="1">
      <c r="A8" s="5" t="s">
        <v>142</v>
      </c>
      <c r="B8" s="520" t="s">
        <v>155</v>
      </c>
      <c r="C8" s="39"/>
    </row>
    <row r="9" spans="1:3" s="6" customFormat="1" ht="17.25" customHeight="1">
      <c r="A9" s="5" t="s">
        <v>144</v>
      </c>
      <c r="B9" s="520" t="s">
        <v>156</v>
      </c>
      <c r="C9" s="39"/>
    </row>
    <row r="10" spans="1:3" s="6" customFormat="1" ht="17.25" customHeight="1">
      <c r="A10" s="5" t="s">
        <v>146</v>
      </c>
      <c r="B10" s="520" t="s">
        <v>157</v>
      </c>
      <c r="C10" s="39"/>
    </row>
    <row r="11" spans="1:3" s="6" customFormat="1" ht="17.25" customHeight="1">
      <c r="A11" s="5" t="s">
        <v>148</v>
      </c>
      <c r="B11" s="520" t="s">
        <v>159</v>
      </c>
      <c r="C11" s="39"/>
    </row>
    <row r="12" spans="1:3" s="32" customFormat="1" ht="17.25" customHeight="1">
      <c r="A12" s="395" t="s">
        <v>52</v>
      </c>
      <c r="B12" s="519" t="s">
        <v>548</v>
      </c>
      <c r="C12" s="504">
        <f>C13+C14</f>
        <v>0</v>
      </c>
    </row>
    <row r="13" spans="1:3" s="6" customFormat="1" ht="17.25" customHeight="1">
      <c r="A13" s="5" t="s">
        <v>55</v>
      </c>
      <c r="B13" s="520" t="s">
        <v>158</v>
      </c>
      <c r="C13" s="39"/>
    </row>
    <row r="14" spans="1:3" ht="17.25" customHeight="1">
      <c r="A14" s="5" t="s">
        <v>56</v>
      </c>
      <c r="B14" s="520" t="s">
        <v>159</v>
      </c>
      <c r="C14" s="39"/>
    </row>
    <row r="15" spans="1:3" ht="17.25" customHeight="1">
      <c r="A15" s="395" t="s">
        <v>57</v>
      </c>
      <c r="B15" s="519" t="s">
        <v>149</v>
      </c>
      <c r="C15" s="504">
        <f>C16+C17+C18</f>
        <v>10</v>
      </c>
    </row>
    <row r="16" spans="1:3" ht="17.25" customHeight="1">
      <c r="A16" s="5" t="s">
        <v>160</v>
      </c>
      <c r="B16" s="518" t="s">
        <v>161</v>
      </c>
      <c r="C16" s="39">
        <f>2+8</f>
        <v>10</v>
      </c>
    </row>
    <row r="17" spans="1:3" s="6" customFormat="1" ht="30">
      <c r="A17" s="5" t="s">
        <v>162</v>
      </c>
      <c r="B17" s="520" t="s">
        <v>163</v>
      </c>
      <c r="C17" s="39"/>
    </row>
    <row r="18" spans="1:3" s="6" customFormat="1" ht="17.25" customHeight="1">
      <c r="A18" s="5" t="s">
        <v>164</v>
      </c>
      <c r="B18" s="520" t="s">
        <v>165</v>
      </c>
      <c r="C18" s="39"/>
    </row>
    <row r="19" spans="1:3" s="6" customFormat="1" ht="17.25" customHeight="1">
      <c r="A19" s="395" t="s">
        <v>72</v>
      </c>
      <c r="B19" s="519" t="s">
        <v>547</v>
      </c>
      <c r="C19" s="504">
        <f>C20+C21+C22+C23+C24+C25</f>
        <v>27</v>
      </c>
    </row>
    <row r="20" spans="1:3" s="6" customFormat="1" ht="17.25" customHeight="1">
      <c r="A20" s="5" t="s">
        <v>166</v>
      </c>
      <c r="B20" s="520" t="s">
        <v>167</v>
      </c>
      <c r="C20" s="39">
        <f>7+2+3</f>
        <v>12</v>
      </c>
    </row>
    <row r="21" spans="1:3" s="6" customFormat="1" ht="17.25" customHeight="1">
      <c r="A21" s="5" t="s">
        <v>168</v>
      </c>
      <c r="B21" s="520" t="s">
        <v>169</v>
      </c>
      <c r="C21" s="39"/>
    </row>
    <row r="22" spans="1:3" s="6" customFormat="1" ht="17.25" customHeight="1">
      <c r="A22" s="5" t="s">
        <v>170</v>
      </c>
      <c r="B22" s="520" t="s">
        <v>171</v>
      </c>
      <c r="C22" s="39"/>
    </row>
    <row r="23" spans="1:3" s="6" customFormat="1" ht="17.25" customHeight="1">
      <c r="A23" s="5" t="s">
        <v>172</v>
      </c>
      <c r="B23" s="520" t="s">
        <v>155</v>
      </c>
      <c r="C23" s="990"/>
    </row>
    <row r="24" spans="1:3" s="6" customFormat="1" ht="17.25" customHeight="1">
      <c r="A24" s="5" t="s">
        <v>173</v>
      </c>
      <c r="B24" s="520" t="s">
        <v>156</v>
      </c>
      <c r="C24" s="39">
        <f>4+8+3</f>
        <v>15</v>
      </c>
    </row>
    <row r="25" spans="1:3" s="6" customFormat="1" ht="17.25" customHeight="1">
      <c r="A25" s="5" t="s">
        <v>174</v>
      </c>
      <c r="B25" s="520" t="s">
        <v>175</v>
      </c>
      <c r="C25" s="39"/>
    </row>
    <row r="26" spans="1:3" s="6" customFormat="1" ht="17.25" customHeight="1">
      <c r="A26" s="395" t="s">
        <v>73</v>
      </c>
      <c r="B26" s="519" t="s">
        <v>546</v>
      </c>
      <c r="C26" s="504">
        <f>C27+C28+C29</f>
        <v>824</v>
      </c>
    </row>
    <row r="27" spans="1:3" s="6" customFormat="1" ht="17.25" customHeight="1">
      <c r="A27" s="5" t="s">
        <v>176</v>
      </c>
      <c r="B27" s="520" t="s">
        <v>167</v>
      </c>
      <c r="C27" s="39">
        <v>821</v>
      </c>
    </row>
    <row r="28" spans="1:3" ht="17.25" customHeight="1">
      <c r="A28" s="5" t="s">
        <v>177</v>
      </c>
      <c r="B28" s="520" t="s">
        <v>169</v>
      </c>
      <c r="C28" s="39"/>
    </row>
    <row r="29" spans="1:3" s="6" customFormat="1" ht="17.25" customHeight="1">
      <c r="A29" s="5" t="s">
        <v>178</v>
      </c>
      <c r="B29" s="520" t="s">
        <v>179</v>
      </c>
      <c r="C29" s="39">
        <f>3</f>
        <v>3</v>
      </c>
    </row>
    <row r="30" spans="1:3" ht="30.75" customHeight="1">
      <c r="A30" s="35"/>
      <c r="B30" s="1606" t="str">
        <f>'Thong tin'!B8</f>
        <v>Tuyên Quang, ngày 05 tháng 04 năm 2018</v>
      </c>
      <c r="C30" s="1606"/>
    </row>
    <row r="31" spans="1:3" ht="22.5" customHeight="1">
      <c r="A31" s="35"/>
      <c r="B31" s="405" t="s">
        <v>4</v>
      </c>
      <c r="C31" s="515" t="str">
        <f>'Thong tin'!B7</f>
        <v>CỤC TRƯỞNG</v>
      </c>
    </row>
    <row r="32" spans="2:3" s="36" customFormat="1" ht="18.75">
      <c r="B32" s="510"/>
      <c r="C32" s="403"/>
    </row>
    <row r="33" spans="2:3" ht="15.75" customHeight="1">
      <c r="B33" s="436"/>
      <c r="C33" s="948"/>
    </row>
    <row r="34" spans="2:3" ht="15.75" customHeight="1">
      <c r="B34" s="436"/>
      <c r="C34" s="403"/>
    </row>
    <row r="35" spans="2:3" ht="15.75" customHeight="1">
      <c r="B35" s="436"/>
      <c r="C35" s="404"/>
    </row>
    <row r="36" spans="2:3" ht="15.75" customHeight="1">
      <c r="B36" s="436"/>
      <c r="C36" s="404"/>
    </row>
    <row r="37" spans="2:3" ht="18.75">
      <c r="B37" s="511" t="str">
        <f>'Thong tin'!B5</f>
        <v>Duy Thị Thúy</v>
      </c>
      <c r="C37" s="511" t="str">
        <f>'Thong tin'!B6</f>
        <v>Nguyễn Tuyên </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604" t="s">
        <v>181</v>
      </c>
      <c r="B44" s="1605"/>
      <c r="C44" s="1605"/>
    </row>
    <row r="45" spans="1:3" ht="18.75" hidden="1">
      <c r="A45" s="1602" t="s">
        <v>69</v>
      </c>
      <c r="B45" s="1603"/>
      <c r="C45" s="387" t="s">
        <v>339</v>
      </c>
    </row>
    <row r="46" spans="1:3" ht="15.75" hidden="1">
      <c r="A46" s="1600" t="s">
        <v>6</v>
      </c>
      <c r="B46" s="1601"/>
      <c r="C46" s="397">
        <v>1</v>
      </c>
    </row>
    <row r="47" spans="1:3" ht="19.5" customHeight="1" hidden="1">
      <c r="A47" s="395" t="s">
        <v>51</v>
      </c>
      <c r="B47" s="396" t="s">
        <v>347</v>
      </c>
      <c r="C47" s="398">
        <f>SUM(C48:C53)</f>
        <v>0</v>
      </c>
    </row>
    <row r="48" spans="1:3" ht="19.5" customHeight="1" hidden="1">
      <c r="A48" s="5" t="s">
        <v>53</v>
      </c>
      <c r="B48" s="34" t="s">
        <v>152</v>
      </c>
      <c r="C48" s="399"/>
    </row>
    <row r="49" spans="1:3" ht="19.5" customHeight="1" hidden="1">
      <c r="A49" s="5" t="s">
        <v>54</v>
      </c>
      <c r="B49" s="34" t="s">
        <v>153</v>
      </c>
      <c r="C49" s="399"/>
    </row>
    <row r="50" spans="1:3" ht="19.5" customHeight="1" hidden="1">
      <c r="A50" s="5" t="s">
        <v>140</v>
      </c>
      <c r="B50" s="34" t="s">
        <v>154</v>
      </c>
      <c r="C50" s="399"/>
    </row>
    <row r="51" spans="1:3" ht="19.5" customHeight="1" hidden="1">
      <c r="A51" s="5" t="s">
        <v>142</v>
      </c>
      <c r="B51" s="34" t="s">
        <v>155</v>
      </c>
      <c r="C51" s="399"/>
    </row>
    <row r="52" spans="1:3" ht="19.5" customHeight="1" hidden="1">
      <c r="A52" s="5" t="s">
        <v>144</v>
      </c>
      <c r="B52" s="34" t="s">
        <v>156</v>
      </c>
      <c r="C52" s="399"/>
    </row>
    <row r="53" spans="1:3" ht="19.5" customHeight="1" hidden="1">
      <c r="A53" s="5" t="s">
        <v>146</v>
      </c>
      <c r="B53" s="34" t="s">
        <v>157</v>
      </c>
      <c r="C53" s="399"/>
    </row>
    <row r="54" spans="1:3" ht="19.5" customHeight="1" hidden="1">
      <c r="A54" s="395" t="s">
        <v>52</v>
      </c>
      <c r="B54" s="396" t="s">
        <v>345</v>
      </c>
      <c r="C54" s="398">
        <f>SUM(C55:C56)</f>
        <v>0</v>
      </c>
    </row>
    <row r="55" spans="1:3" ht="19.5" customHeight="1" hidden="1">
      <c r="A55" s="5" t="s">
        <v>55</v>
      </c>
      <c r="B55" s="34" t="s">
        <v>158</v>
      </c>
      <c r="C55" s="399"/>
    </row>
    <row r="56" spans="1:3" ht="19.5" customHeight="1" hidden="1">
      <c r="A56" s="5" t="s">
        <v>56</v>
      </c>
      <c r="B56" s="34" t="s">
        <v>159</v>
      </c>
      <c r="C56" s="399"/>
    </row>
    <row r="57" spans="1:3" ht="19.5" customHeight="1" hidden="1">
      <c r="A57" s="395" t="s">
        <v>57</v>
      </c>
      <c r="B57" s="396" t="s">
        <v>149</v>
      </c>
      <c r="C57" s="398">
        <f>SUM(C58:C60)</f>
        <v>0</v>
      </c>
    </row>
    <row r="58" spans="1:3" ht="19.5" customHeight="1" hidden="1">
      <c r="A58" s="5" t="s">
        <v>160</v>
      </c>
      <c r="B58" s="37" t="s">
        <v>161</v>
      </c>
      <c r="C58" s="399"/>
    </row>
    <row r="59" spans="1:3" ht="19.5" customHeight="1" hidden="1">
      <c r="A59" s="5" t="s">
        <v>162</v>
      </c>
      <c r="B59" s="34" t="s">
        <v>163</v>
      </c>
      <c r="C59" s="399"/>
    </row>
    <row r="60" spans="1:3" ht="19.5" customHeight="1" hidden="1">
      <c r="A60" s="5" t="s">
        <v>164</v>
      </c>
      <c r="B60" s="34" t="s">
        <v>165</v>
      </c>
      <c r="C60" s="399"/>
    </row>
    <row r="61" spans="1:3" ht="19.5" customHeight="1" hidden="1">
      <c r="A61" s="395" t="s">
        <v>72</v>
      </c>
      <c r="B61" s="396" t="s">
        <v>346</v>
      </c>
      <c r="C61" s="398">
        <f>SUM(C62:C67)</f>
        <v>0</v>
      </c>
    </row>
    <row r="62" spans="1:3" ht="19.5" customHeight="1" hidden="1">
      <c r="A62" s="5" t="s">
        <v>166</v>
      </c>
      <c r="B62" s="34" t="s">
        <v>167</v>
      </c>
      <c r="C62" s="399"/>
    </row>
    <row r="63" spans="1:3" ht="19.5" customHeight="1" hidden="1">
      <c r="A63" s="5" t="s">
        <v>168</v>
      </c>
      <c r="B63" s="34" t="s">
        <v>169</v>
      </c>
      <c r="C63" s="399"/>
    </row>
    <row r="64" spans="1:3" ht="19.5" customHeight="1" hidden="1">
      <c r="A64" s="5" t="s">
        <v>170</v>
      </c>
      <c r="B64" s="34" t="s">
        <v>171</v>
      </c>
      <c r="C64" s="399"/>
    </row>
    <row r="65" spans="1:3" ht="19.5" customHeight="1" hidden="1">
      <c r="A65" s="5" t="s">
        <v>172</v>
      </c>
      <c r="B65" s="34" t="s">
        <v>155</v>
      </c>
      <c r="C65" s="399"/>
    </row>
    <row r="66" spans="1:3" ht="19.5" customHeight="1" hidden="1">
      <c r="A66" s="5" t="s">
        <v>173</v>
      </c>
      <c r="B66" s="34" t="s">
        <v>156</v>
      </c>
      <c r="C66" s="399"/>
    </row>
    <row r="67" spans="1:3" ht="19.5" customHeight="1" hidden="1">
      <c r="A67" s="5" t="s">
        <v>174</v>
      </c>
      <c r="B67" s="34" t="s">
        <v>175</v>
      </c>
      <c r="C67" s="399"/>
    </row>
    <row r="68" spans="1:3" ht="19.5" customHeight="1" hidden="1">
      <c r="A68" s="395" t="s">
        <v>73</v>
      </c>
      <c r="B68" s="396" t="s">
        <v>348</v>
      </c>
      <c r="C68" s="398">
        <f>SUM(C69:C71)</f>
        <v>25</v>
      </c>
    </row>
    <row r="69" spans="1:3" ht="19.5" customHeight="1" hidden="1">
      <c r="A69" s="5" t="s">
        <v>176</v>
      </c>
      <c r="B69" s="34" t="s">
        <v>167</v>
      </c>
      <c r="C69" s="399">
        <v>25</v>
      </c>
    </row>
    <row r="70" spans="1:3" ht="19.5" customHeight="1" hidden="1">
      <c r="A70" s="5" t="s">
        <v>177</v>
      </c>
      <c r="B70" s="34" t="s">
        <v>169</v>
      </c>
      <c r="C70" s="399">
        <v>0</v>
      </c>
    </row>
    <row r="71" spans="1:3" ht="19.5" customHeight="1" hidden="1">
      <c r="A71" s="5" t="s">
        <v>178</v>
      </c>
      <c r="B71" s="34" t="s">
        <v>179</v>
      </c>
      <c r="C71" s="399">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604" t="s">
        <v>181</v>
      </c>
      <c r="B82" s="1605"/>
      <c r="C82" s="1605"/>
    </row>
    <row r="83" spans="1:3" ht="18.75" hidden="1">
      <c r="A83" s="1602" t="s">
        <v>69</v>
      </c>
      <c r="B83" s="1603"/>
      <c r="C83" s="387" t="s">
        <v>339</v>
      </c>
    </row>
    <row r="84" spans="1:3" ht="24.75" customHeight="1" hidden="1">
      <c r="A84" s="1600" t="s">
        <v>6</v>
      </c>
      <c r="B84" s="1601"/>
      <c r="C84" s="397">
        <v>1</v>
      </c>
    </row>
    <row r="85" spans="1:3" ht="24.75" customHeight="1" hidden="1">
      <c r="A85" s="395" t="s">
        <v>51</v>
      </c>
      <c r="B85" s="396" t="s">
        <v>347</v>
      </c>
      <c r="C85" s="398">
        <f>SUM(C86:C91)</f>
        <v>2</v>
      </c>
    </row>
    <row r="86" spans="1:3" ht="24.75" customHeight="1" hidden="1">
      <c r="A86" s="5" t="s">
        <v>53</v>
      </c>
      <c r="B86" s="34" t="s">
        <v>152</v>
      </c>
      <c r="C86" s="399"/>
    </row>
    <row r="87" spans="1:3" ht="24.75" customHeight="1" hidden="1">
      <c r="A87" s="5" t="s">
        <v>54</v>
      </c>
      <c r="B87" s="34" t="s">
        <v>153</v>
      </c>
      <c r="C87" s="399"/>
    </row>
    <row r="88" spans="1:3" ht="24.75" customHeight="1" hidden="1">
      <c r="A88" s="5" t="s">
        <v>140</v>
      </c>
      <c r="B88" s="34" t="s">
        <v>154</v>
      </c>
      <c r="C88" s="399">
        <v>2</v>
      </c>
    </row>
    <row r="89" spans="1:3" ht="24.75" customHeight="1" hidden="1">
      <c r="A89" s="5" t="s">
        <v>142</v>
      </c>
      <c r="B89" s="34" t="s">
        <v>155</v>
      </c>
      <c r="C89" s="399"/>
    </row>
    <row r="90" spans="1:3" ht="24.75" customHeight="1" hidden="1">
      <c r="A90" s="5" t="s">
        <v>144</v>
      </c>
      <c r="B90" s="34" t="s">
        <v>156</v>
      </c>
      <c r="C90" s="399"/>
    </row>
    <row r="91" spans="1:3" ht="24.75" customHeight="1" hidden="1">
      <c r="A91" s="5" t="s">
        <v>146</v>
      </c>
      <c r="B91" s="34" t="s">
        <v>157</v>
      </c>
      <c r="C91" s="399"/>
    </row>
    <row r="92" spans="1:3" ht="24.75" customHeight="1" hidden="1">
      <c r="A92" s="395" t="s">
        <v>52</v>
      </c>
      <c r="B92" s="396" t="s">
        <v>345</v>
      </c>
      <c r="C92" s="398">
        <f>SUM(C93:C94)</f>
        <v>0</v>
      </c>
    </row>
    <row r="93" spans="1:3" ht="24.75" customHeight="1" hidden="1">
      <c r="A93" s="5" t="s">
        <v>55</v>
      </c>
      <c r="B93" s="34" t="s">
        <v>158</v>
      </c>
      <c r="C93" s="399"/>
    </row>
    <row r="94" spans="1:3" ht="24.75" customHeight="1" hidden="1">
      <c r="A94" s="5" t="s">
        <v>56</v>
      </c>
      <c r="B94" s="34" t="s">
        <v>159</v>
      </c>
      <c r="C94" s="399"/>
    </row>
    <row r="95" spans="1:3" ht="24.75" customHeight="1" hidden="1">
      <c r="A95" s="395" t="s">
        <v>57</v>
      </c>
      <c r="B95" s="396" t="s">
        <v>149</v>
      </c>
      <c r="C95" s="398">
        <f>SUM(C96:C98)</f>
        <v>0</v>
      </c>
    </row>
    <row r="96" spans="1:3" ht="24.75" customHeight="1" hidden="1">
      <c r="A96" s="5" t="s">
        <v>160</v>
      </c>
      <c r="B96" s="37" t="s">
        <v>161</v>
      </c>
      <c r="C96" s="399"/>
    </row>
    <row r="97" spans="1:3" ht="24.75" customHeight="1" hidden="1">
      <c r="A97" s="5" t="s">
        <v>162</v>
      </c>
      <c r="B97" s="34" t="s">
        <v>163</v>
      </c>
      <c r="C97" s="399"/>
    </row>
    <row r="98" spans="1:3" ht="24.75" customHeight="1" hidden="1">
      <c r="A98" s="5" t="s">
        <v>164</v>
      </c>
      <c r="B98" s="34" t="s">
        <v>165</v>
      </c>
      <c r="C98" s="399"/>
    </row>
    <row r="99" spans="1:3" ht="24.75" customHeight="1" hidden="1">
      <c r="A99" s="395" t="s">
        <v>72</v>
      </c>
      <c r="B99" s="396" t="s">
        <v>346</v>
      </c>
      <c r="C99" s="398">
        <f>SUM(C100:C105)</f>
        <v>0</v>
      </c>
    </row>
    <row r="100" spans="1:3" ht="24.75" customHeight="1" hidden="1">
      <c r="A100" s="5" t="s">
        <v>166</v>
      </c>
      <c r="B100" s="34" t="s">
        <v>167</v>
      </c>
      <c r="C100" s="399"/>
    </row>
    <row r="101" spans="1:3" ht="24.75" customHeight="1" hidden="1">
      <c r="A101" s="5" t="s">
        <v>168</v>
      </c>
      <c r="B101" s="34" t="s">
        <v>169</v>
      </c>
      <c r="C101" s="399"/>
    </row>
    <row r="102" spans="1:3" ht="24.75" customHeight="1" hidden="1">
      <c r="A102" s="5" t="s">
        <v>170</v>
      </c>
      <c r="B102" s="34" t="s">
        <v>171</v>
      </c>
      <c r="C102" s="399"/>
    </row>
    <row r="103" spans="1:3" ht="24.75" customHeight="1" hidden="1">
      <c r="A103" s="5" t="s">
        <v>172</v>
      </c>
      <c r="B103" s="34" t="s">
        <v>155</v>
      </c>
      <c r="C103" s="399"/>
    </row>
    <row r="104" spans="1:3" ht="24.75" customHeight="1" hidden="1">
      <c r="A104" s="5" t="s">
        <v>173</v>
      </c>
      <c r="B104" s="34" t="s">
        <v>156</v>
      </c>
      <c r="C104" s="399"/>
    </row>
    <row r="105" spans="1:3" ht="24.75" customHeight="1" hidden="1">
      <c r="A105" s="5" t="s">
        <v>174</v>
      </c>
      <c r="B105" s="34" t="s">
        <v>175</v>
      </c>
      <c r="C105" s="399"/>
    </row>
    <row r="106" spans="1:3" ht="24.75" customHeight="1" hidden="1">
      <c r="A106" s="395" t="s">
        <v>73</v>
      </c>
      <c r="B106" s="396" t="s">
        <v>348</v>
      </c>
      <c r="C106" s="398">
        <f>SUM(C107:C109)</f>
        <v>46</v>
      </c>
    </row>
    <row r="107" spans="1:3" ht="24.75" customHeight="1" hidden="1">
      <c r="A107" s="5" t="s">
        <v>176</v>
      </c>
      <c r="B107" s="34" t="s">
        <v>167</v>
      </c>
      <c r="C107" s="399">
        <v>43</v>
      </c>
    </row>
    <row r="108" spans="1:3" ht="24.75" customHeight="1" hidden="1">
      <c r="A108" s="5" t="s">
        <v>177</v>
      </c>
      <c r="B108" s="34" t="s">
        <v>169</v>
      </c>
      <c r="C108" s="399"/>
    </row>
    <row r="109" spans="1:3" ht="24.75" customHeight="1" hidden="1">
      <c r="A109" s="5" t="s">
        <v>178</v>
      </c>
      <c r="B109" s="34" t="s">
        <v>179</v>
      </c>
      <c r="C109" s="399">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604" t="s">
        <v>181</v>
      </c>
      <c r="B120" s="1605"/>
      <c r="C120" s="1605"/>
    </row>
    <row r="121" spans="1:3" ht="18.75" hidden="1">
      <c r="A121" s="1602" t="s">
        <v>69</v>
      </c>
      <c r="B121" s="1603"/>
      <c r="C121" s="387" t="s">
        <v>339</v>
      </c>
    </row>
    <row r="122" spans="1:3" ht="15.75" hidden="1">
      <c r="A122" s="1600" t="s">
        <v>6</v>
      </c>
      <c r="B122" s="1601"/>
      <c r="C122" s="397">
        <v>1</v>
      </c>
    </row>
    <row r="123" spans="1:3" ht="24.75" customHeight="1" hidden="1">
      <c r="A123" s="395" t="s">
        <v>51</v>
      </c>
      <c r="B123" s="396" t="s">
        <v>347</v>
      </c>
      <c r="C123" s="398">
        <f>SUM(C124:C129)</f>
        <v>0</v>
      </c>
    </row>
    <row r="124" spans="1:3" ht="24.75" customHeight="1" hidden="1">
      <c r="A124" s="5" t="s">
        <v>53</v>
      </c>
      <c r="B124" s="34" t="s">
        <v>152</v>
      </c>
      <c r="C124" s="399"/>
    </row>
    <row r="125" spans="1:3" ht="24.75" customHeight="1" hidden="1">
      <c r="A125" s="5" t="s">
        <v>54</v>
      </c>
      <c r="B125" s="34" t="s">
        <v>153</v>
      </c>
      <c r="C125" s="399"/>
    </row>
    <row r="126" spans="1:3" ht="24.75" customHeight="1" hidden="1">
      <c r="A126" s="5" t="s">
        <v>140</v>
      </c>
      <c r="B126" s="34" t="s">
        <v>154</v>
      </c>
      <c r="C126" s="399"/>
    </row>
    <row r="127" spans="1:3" ht="24.75" customHeight="1" hidden="1">
      <c r="A127" s="5" t="s">
        <v>142</v>
      </c>
      <c r="B127" s="34" t="s">
        <v>155</v>
      </c>
      <c r="C127" s="399"/>
    </row>
    <row r="128" spans="1:3" ht="24.75" customHeight="1" hidden="1">
      <c r="A128" s="5" t="s">
        <v>144</v>
      </c>
      <c r="B128" s="34" t="s">
        <v>156</v>
      </c>
      <c r="C128" s="399"/>
    </row>
    <row r="129" spans="1:3" ht="24.75" customHeight="1" hidden="1">
      <c r="A129" s="5" t="s">
        <v>146</v>
      </c>
      <c r="B129" s="34" t="s">
        <v>157</v>
      </c>
      <c r="C129" s="399"/>
    </row>
    <row r="130" spans="1:3" ht="24.75" customHeight="1" hidden="1">
      <c r="A130" s="395" t="s">
        <v>52</v>
      </c>
      <c r="B130" s="396" t="s">
        <v>345</v>
      </c>
      <c r="C130" s="398">
        <f>SUM(C131:C132)</f>
        <v>0</v>
      </c>
    </row>
    <row r="131" spans="1:3" ht="24.75" customHeight="1" hidden="1">
      <c r="A131" s="5" t="s">
        <v>55</v>
      </c>
      <c r="B131" s="34" t="s">
        <v>158</v>
      </c>
      <c r="C131" s="399"/>
    </row>
    <row r="132" spans="1:3" ht="24.75" customHeight="1" hidden="1">
      <c r="A132" s="5" t="s">
        <v>56</v>
      </c>
      <c r="B132" s="34" t="s">
        <v>159</v>
      </c>
      <c r="C132" s="399"/>
    </row>
    <row r="133" spans="1:3" ht="24.75" customHeight="1" hidden="1">
      <c r="A133" s="395" t="s">
        <v>57</v>
      </c>
      <c r="B133" s="396" t="s">
        <v>149</v>
      </c>
      <c r="C133" s="398">
        <f>SUM(C134:C136)</f>
        <v>12</v>
      </c>
    </row>
    <row r="134" spans="1:3" ht="24.75" customHeight="1" hidden="1">
      <c r="A134" s="5" t="s">
        <v>160</v>
      </c>
      <c r="B134" s="37" t="s">
        <v>161</v>
      </c>
      <c r="C134" s="399">
        <v>12</v>
      </c>
    </row>
    <row r="135" spans="1:3" ht="24.75" customHeight="1" hidden="1">
      <c r="A135" s="5" t="s">
        <v>162</v>
      </c>
      <c r="B135" s="34" t="s">
        <v>163</v>
      </c>
      <c r="C135" s="399"/>
    </row>
    <row r="136" spans="1:3" ht="24.75" customHeight="1" hidden="1">
      <c r="A136" s="5" t="s">
        <v>164</v>
      </c>
      <c r="B136" s="34" t="s">
        <v>165</v>
      </c>
      <c r="C136" s="399"/>
    </row>
    <row r="137" spans="1:3" ht="24.75" customHeight="1" hidden="1">
      <c r="A137" s="395" t="s">
        <v>72</v>
      </c>
      <c r="B137" s="396" t="s">
        <v>346</v>
      </c>
      <c r="C137" s="398">
        <f>SUM(C138:C143)</f>
        <v>0</v>
      </c>
    </row>
    <row r="138" spans="1:3" ht="24.75" customHeight="1" hidden="1">
      <c r="A138" s="5" t="s">
        <v>166</v>
      </c>
      <c r="B138" s="34" t="s">
        <v>167</v>
      </c>
      <c r="C138" s="399"/>
    </row>
    <row r="139" spans="1:3" ht="24.75" customHeight="1" hidden="1">
      <c r="A139" s="5" t="s">
        <v>168</v>
      </c>
      <c r="B139" s="34" t="s">
        <v>169</v>
      </c>
      <c r="C139" s="399"/>
    </row>
    <row r="140" spans="1:3" ht="24.75" customHeight="1" hidden="1">
      <c r="A140" s="5" t="s">
        <v>170</v>
      </c>
      <c r="B140" s="34" t="s">
        <v>171</v>
      </c>
      <c r="C140" s="399"/>
    </row>
    <row r="141" spans="1:3" ht="24.75" customHeight="1" hidden="1">
      <c r="A141" s="5" t="s">
        <v>172</v>
      </c>
      <c r="B141" s="34" t="s">
        <v>155</v>
      </c>
      <c r="C141" s="399"/>
    </row>
    <row r="142" spans="1:3" ht="24.75" customHeight="1" hidden="1">
      <c r="A142" s="5" t="s">
        <v>173</v>
      </c>
      <c r="B142" s="34" t="s">
        <v>156</v>
      </c>
      <c r="C142" s="399"/>
    </row>
    <row r="143" spans="1:3" ht="24.75" customHeight="1" hidden="1">
      <c r="A143" s="5" t="s">
        <v>174</v>
      </c>
      <c r="B143" s="34" t="s">
        <v>175</v>
      </c>
      <c r="C143" s="399"/>
    </row>
    <row r="144" spans="1:3" ht="24.75" customHeight="1" hidden="1">
      <c r="A144" s="395" t="s">
        <v>73</v>
      </c>
      <c r="B144" s="396" t="s">
        <v>348</v>
      </c>
      <c r="C144" s="398">
        <f>SUM(C145:C147)</f>
        <v>19</v>
      </c>
    </row>
    <row r="145" spans="1:3" ht="24.75" customHeight="1" hidden="1">
      <c r="A145" s="5" t="s">
        <v>176</v>
      </c>
      <c r="B145" s="34" t="s">
        <v>167</v>
      </c>
      <c r="C145" s="399"/>
    </row>
    <row r="146" spans="1:3" ht="24.75" customHeight="1" hidden="1">
      <c r="A146" s="5" t="s">
        <v>177</v>
      </c>
      <c r="B146" s="34" t="s">
        <v>169</v>
      </c>
      <c r="C146" s="399"/>
    </row>
    <row r="147" spans="1:3" ht="24.75" customHeight="1" hidden="1">
      <c r="A147" s="5" t="s">
        <v>178</v>
      </c>
      <c r="B147" s="34" t="s">
        <v>179</v>
      </c>
      <c r="C147" s="399">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604" t="s">
        <v>181</v>
      </c>
      <c r="B160" s="1605"/>
      <c r="C160" s="1605"/>
    </row>
    <row r="161" spans="1:3" ht="18.75" hidden="1">
      <c r="A161" s="1602" t="s">
        <v>69</v>
      </c>
      <c r="B161" s="1603"/>
      <c r="C161" s="387" t="s">
        <v>339</v>
      </c>
    </row>
    <row r="162" spans="1:3" ht="15.75" hidden="1">
      <c r="A162" s="1600" t="s">
        <v>6</v>
      </c>
      <c r="B162" s="1601"/>
      <c r="C162" s="397">
        <v>1</v>
      </c>
    </row>
    <row r="163" spans="1:3" ht="24.75" customHeight="1" hidden="1">
      <c r="A163" s="395" t="s">
        <v>51</v>
      </c>
      <c r="B163" s="396" t="s">
        <v>347</v>
      </c>
      <c r="C163" s="398">
        <f>SUM(C164:C169)</f>
        <v>0</v>
      </c>
    </row>
    <row r="164" spans="1:3" ht="24.75" customHeight="1" hidden="1">
      <c r="A164" s="5" t="s">
        <v>53</v>
      </c>
      <c r="B164" s="34" t="s">
        <v>152</v>
      </c>
      <c r="C164" s="399"/>
    </row>
    <row r="165" spans="1:3" ht="24.75" customHeight="1" hidden="1">
      <c r="A165" s="5" t="s">
        <v>54</v>
      </c>
      <c r="B165" s="34" t="s">
        <v>153</v>
      </c>
      <c r="C165" s="399"/>
    </row>
    <row r="166" spans="1:3" ht="24.75" customHeight="1" hidden="1">
      <c r="A166" s="5" t="s">
        <v>140</v>
      </c>
      <c r="B166" s="34" t="s">
        <v>154</v>
      </c>
      <c r="C166" s="399"/>
    </row>
    <row r="167" spans="1:3" ht="24.75" customHeight="1" hidden="1">
      <c r="A167" s="5" t="s">
        <v>142</v>
      </c>
      <c r="B167" s="34" t="s">
        <v>155</v>
      </c>
      <c r="C167" s="399"/>
    </row>
    <row r="168" spans="1:3" ht="24.75" customHeight="1" hidden="1">
      <c r="A168" s="5" t="s">
        <v>144</v>
      </c>
      <c r="B168" s="34" t="s">
        <v>156</v>
      </c>
      <c r="C168" s="399"/>
    </row>
    <row r="169" spans="1:3" ht="24.75" customHeight="1" hidden="1">
      <c r="A169" s="5" t="s">
        <v>146</v>
      </c>
      <c r="B169" s="34" t="s">
        <v>157</v>
      </c>
      <c r="C169" s="399"/>
    </row>
    <row r="170" spans="1:3" ht="24.75" customHeight="1" hidden="1">
      <c r="A170" s="395" t="s">
        <v>52</v>
      </c>
      <c r="B170" s="396" t="s">
        <v>345</v>
      </c>
      <c r="C170" s="398">
        <f>SUM(C171:C172)</f>
        <v>0</v>
      </c>
    </row>
    <row r="171" spans="1:3" ht="24.75" customHeight="1" hidden="1">
      <c r="A171" s="5" t="s">
        <v>55</v>
      </c>
      <c r="B171" s="34" t="s">
        <v>158</v>
      </c>
      <c r="C171" s="399"/>
    </row>
    <row r="172" spans="1:3" ht="24.75" customHeight="1" hidden="1">
      <c r="A172" s="5" t="s">
        <v>56</v>
      </c>
      <c r="B172" s="34" t="s">
        <v>159</v>
      </c>
      <c r="C172" s="399"/>
    </row>
    <row r="173" spans="1:3" ht="24.75" customHeight="1" hidden="1">
      <c r="A173" s="395" t="s">
        <v>57</v>
      </c>
      <c r="B173" s="396" t="s">
        <v>149</v>
      </c>
      <c r="C173" s="398">
        <f>SUM(C174:C176)</f>
        <v>0</v>
      </c>
    </row>
    <row r="174" spans="1:3" ht="24.75" customHeight="1" hidden="1">
      <c r="A174" s="5" t="s">
        <v>160</v>
      </c>
      <c r="B174" s="37" t="s">
        <v>161</v>
      </c>
      <c r="C174" s="399"/>
    </row>
    <row r="175" spans="1:3" ht="24.75" customHeight="1" hidden="1">
      <c r="A175" s="5" t="s">
        <v>162</v>
      </c>
      <c r="B175" s="34" t="s">
        <v>163</v>
      </c>
      <c r="C175" s="399"/>
    </row>
    <row r="176" spans="1:3" ht="24.75" customHeight="1" hidden="1">
      <c r="A176" s="5" t="s">
        <v>164</v>
      </c>
      <c r="B176" s="34" t="s">
        <v>165</v>
      </c>
      <c r="C176" s="399"/>
    </row>
    <row r="177" spans="1:3" ht="24.75" customHeight="1" hidden="1">
      <c r="A177" s="395" t="s">
        <v>72</v>
      </c>
      <c r="B177" s="396" t="s">
        <v>346</v>
      </c>
      <c r="C177" s="398">
        <f>SUM(C178:C183)</f>
        <v>1</v>
      </c>
    </row>
    <row r="178" spans="1:3" ht="24.75" customHeight="1" hidden="1">
      <c r="A178" s="5" t="s">
        <v>166</v>
      </c>
      <c r="B178" s="34" t="s">
        <v>167</v>
      </c>
      <c r="C178" s="399">
        <v>1</v>
      </c>
    </row>
    <row r="179" spans="1:3" ht="24.75" customHeight="1" hidden="1">
      <c r="A179" s="5" t="s">
        <v>168</v>
      </c>
      <c r="B179" s="34" t="s">
        <v>169</v>
      </c>
      <c r="C179" s="399">
        <v>0</v>
      </c>
    </row>
    <row r="180" spans="1:3" ht="24.75" customHeight="1" hidden="1">
      <c r="A180" s="5" t="s">
        <v>170</v>
      </c>
      <c r="B180" s="34" t="s">
        <v>171</v>
      </c>
      <c r="C180" s="399">
        <v>0</v>
      </c>
    </row>
    <row r="181" spans="1:3" ht="24.75" customHeight="1" hidden="1">
      <c r="A181" s="5" t="s">
        <v>172</v>
      </c>
      <c r="B181" s="34" t="s">
        <v>155</v>
      </c>
      <c r="C181" s="399">
        <v>0</v>
      </c>
    </row>
    <row r="182" spans="1:3" ht="24.75" customHeight="1" hidden="1">
      <c r="A182" s="5" t="s">
        <v>173</v>
      </c>
      <c r="B182" s="34" t="s">
        <v>156</v>
      </c>
      <c r="C182" s="399">
        <v>0</v>
      </c>
    </row>
    <row r="183" spans="1:3" ht="24.75" customHeight="1" hidden="1">
      <c r="A183" s="5" t="s">
        <v>174</v>
      </c>
      <c r="B183" s="34" t="s">
        <v>175</v>
      </c>
      <c r="C183" s="399">
        <v>0</v>
      </c>
    </row>
    <row r="184" spans="1:3" ht="24.75" customHeight="1" hidden="1">
      <c r="A184" s="395" t="s">
        <v>73</v>
      </c>
      <c r="B184" s="396" t="s">
        <v>348</v>
      </c>
      <c r="C184" s="398">
        <f>SUM(C185:C187)</f>
        <v>74</v>
      </c>
    </row>
    <row r="185" spans="1:3" ht="24.75" customHeight="1" hidden="1">
      <c r="A185" s="5" t="s">
        <v>176</v>
      </c>
      <c r="B185" s="34" t="s">
        <v>167</v>
      </c>
      <c r="C185" s="399">
        <v>66</v>
      </c>
    </row>
    <row r="186" spans="1:3" ht="24.75" customHeight="1" hidden="1">
      <c r="A186" s="5" t="s">
        <v>177</v>
      </c>
      <c r="B186" s="34" t="s">
        <v>169</v>
      </c>
      <c r="C186" s="399">
        <v>0</v>
      </c>
    </row>
    <row r="187" spans="1:3" ht="24.75" customHeight="1" hidden="1">
      <c r="A187" s="5" t="s">
        <v>178</v>
      </c>
      <c r="B187" s="34" t="s">
        <v>179</v>
      </c>
      <c r="C187" s="399">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604" t="s">
        <v>181</v>
      </c>
      <c r="B199" s="1605"/>
      <c r="C199" s="1605"/>
    </row>
    <row r="200" spans="1:3" ht="18.75" hidden="1">
      <c r="A200" s="1602" t="s">
        <v>69</v>
      </c>
      <c r="B200" s="1603"/>
      <c r="C200" s="387" t="s">
        <v>339</v>
      </c>
    </row>
    <row r="201" spans="1:3" ht="15.75" hidden="1">
      <c r="A201" s="1600" t="s">
        <v>6</v>
      </c>
      <c r="B201" s="1601"/>
      <c r="C201" s="397">
        <v>1</v>
      </c>
    </row>
    <row r="202" spans="1:3" ht="24.75" customHeight="1" hidden="1">
      <c r="A202" s="395" t="s">
        <v>51</v>
      </c>
      <c r="B202" s="396" t="s">
        <v>347</v>
      </c>
      <c r="C202" s="398">
        <f>SUM(C203:C208)</f>
        <v>0</v>
      </c>
    </row>
    <row r="203" spans="1:3" ht="24.75" customHeight="1" hidden="1">
      <c r="A203" s="5" t="s">
        <v>53</v>
      </c>
      <c r="B203" s="34" t="s">
        <v>152</v>
      </c>
      <c r="C203" s="399"/>
    </row>
    <row r="204" spans="1:3" ht="24.75" customHeight="1" hidden="1">
      <c r="A204" s="5" t="s">
        <v>54</v>
      </c>
      <c r="B204" s="34" t="s">
        <v>153</v>
      </c>
      <c r="C204" s="399"/>
    </row>
    <row r="205" spans="1:3" ht="24.75" customHeight="1" hidden="1">
      <c r="A205" s="5" t="s">
        <v>140</v>
      </c>
      <c r="B205" s="34" t="s">
        <v>154</v>
      </c>
      <c r="C205" s="399"/>
    </row>
    <row r="206" spans="1:3" ht="24.75" customHeight="1" hidden="1">
      <c r="A206" s="5" t="s">
        <v>142</v>
      </c>
      <c r="B206" s="34" t="s">
        <v>155</v>
      </c>
      <c r="C206" s="399"/>
    </row>
    <row r="207" spans="1:3" ht="24.75" customHeight="1" hidden="1">
      <c r="A207" s="5" t="s">
        <v>144</v>
      </c>
      <c r="B207" s="34" t="s">
        <v>156</v>
      </c>
      <c r="C207" s="399"/>
    </row>
    <row r="208" spans="1:3" ht="24.75" customHeight="1" hidden="1">
      <c r="A208" s="5" t="s">
        <v>146</v>
      </c>
      <c r="B208" s="34" t="s">
        <v>157</v>
      </c>
      <c r="C208" s="399"/>
    </row>
    <row r="209" spans="1:3" ht="24.75" customHeight="1" hidden="1">
      <c r="A209" s="395" t="s">
        <v>52</v>
      </c>
      <c r="B209" s="396" t="s">
        <v>345</v>
      </c>
      <c r="C209" s="398">
        <f>SUM(C210:C211)</f>
        <v>0</v>
      </c>
    </row>
    <row r="210" spans="1:3" ht="24.75" customHeight="1" hidden="1">
      <c r="A210" s="5" t="s">
        <v>55</v>
      </c>
      <c r="B210" s="34" t="s">
        <v>158</v>
      </c>
      <c r="C210" s="399"/>
    </row>
    <row r="211" spans="1:3" ht="24.75" customHeight="1" hidden="1">
      <c r="A211" s="5" t="s">
        <v>56</v>
      </c>
      <c r="B211" s="34" t="s">
        <v>159</v>
      </c>
      <c r="C211" s="399"/>
    </row>
    <row r="212" spans="1:3" ht="24.75" customHeight="1" hidden="1">
      <c r="A212" s="395" t="s">
        <v>57</v>
      </c>
      <c r="B212" s="396" t="s">
        <v>149</v>
      </c>
      <c r="C212" s="398">
        <f>SUM(C213:C215)</f>
        <v>0</v>
      </c>
    </row>
    <row r="213" spans="1:3" ht="24.75" customHeight="1" hidden="1">
      <c r="A213" s="5" t="s">
        <v>160</v>
      </c>
      <c r="B213" s="37" t="s">
        <v>161</v>
      </c>
      <c r="C213" s="399"/>
    </row>
    <row r="214" spans="1:3" ht="24.75" customHeight="1" hidden="1">
      <c r="A214" s="5" t="s">
        <v>162</v>
      </c>
      <c r="B214" s="34" t="s">
        <v>163</v>
      </c>
      <c r="C214" s="399"/>
    </row>
    <row r="215" spans="1:3" ht="24.75" customHeight="1" hidden="1">
      <c r="A215" s="5" t="s">
        <v>164</v>
      </c>
      <c r="B215" s="34" t="s">
        <v>165</v>
      </c>
      <c r="C215" s="399"/>
    </row>
    <row r="216" spans="1:3" ht="24.75" customHeight="1" hidden="1">
      <c r="A216" s="395" t="s">
        <v>72</v>
      </c>
      <c r="B216" s="396" t="s">
        <v>346</v>
      </c>
      <c r="C216" s="398">
        <f>SUM(C217:C222)</f>
        <v>0</v>
      </c>
    </row>
    <row r="217" spans="1:3" ht="24.75" customHeight="1" hidden="1">
      <c r="A217" s="5" t="s">
        <v>166</v>
      </c>
      <c r="B217" s="34" t="s">
        <v>167</v>
      </c>
      <c r="C217" s="399"/>
    </row>
    <row r="218" spans="1:3" ht="24.75" customHeight="1" hidden="1">
      <c r="A218" s="5" t="s">
        <v>168</v>
      </c>
      <c r="B218" s="34" t="s">
        <v>169</v>
      </c>
      <c r="C218" s="399"/>
    </row>
    <row r="219" spans="1:3" ht="24.75" customHeight="1" hidden="1">
      <c r="A219" s="5" t="s">
        <v>170</v>
      </c>
      <c r="B219" s="34" t="s">
        <v>171</v>
      </c>
      <c r="C219" s="399"/>
    </row>
    <row r="220" spans="1:3" ht="24.75" customHeight="1" hidden="1">
      <c r="A220" s="5" t="s">
        <v>172</v>
      </c>
      <c r="B220" s="34" t="s">
        <v>155</v>
      </c>
      <c r="C220" s="399"/>
    </row>
    <row r="221" spans="1:3" ht="24.75" customHeight="1" hidden="1">
      <c r="A221" s="5" t="s">
        <v>173</v>
      </c>
      <c r="B221" s="34" t="s">
        <v>156</v>
      </c>
      <c r="C221" s="399"/>
    </row>
    <row r="222" spans="1:3" ht="24.75" customHeight="1" hidden="1">
      <c r="A222" s="5" t="s">
        <v>174</v>
      </c>
      <c r="B222" s="34" t="s">
        <v>175</v>
      </c>
      <c r="C222" s="399"/>
    </row>
    <row r="223" spans="1:3" ht="24.75" customHeight="1" hidden="1">
      <c r="A223" s="395" t="s">
        <v>73</v>
      </c>
      <c r="B223" s="396" t="s">
        <v>348</v>
      </c>
      <c r="C223" s="398">
        <f>SUM(C224:C226)</f>
        <v>7</v>
      </c>
    </row>
    <row r="224" spans="1:3" ht="24.75" customHeight="1" hidden="1">
      <c r="A224" s="5" t="s">
        <v>176</v>
      </c>
      <c r="B224" s="34" t="s">
        <v>167</v>
      </c>
      <c r="C224" s="399">
        <v>7</v>
      </c>
    </row>
    <row r="225" spans="1:3" ht="24.75" customHeight="1" hidden="1">
      <c r="A225" s="5" t="s">
        <v>177</v>
      </c>
      <c r="B225" s="34" t="s">
        <v>169</v>
      </c>
      <c r="C225" s="399">
        <v>0</v>
      </c>
    </row>
    <row r="226" spans="1:3" ht="24.75" customHeight="1" hidden="1">
      <c r="A226" s="5" t="s">
        <v>178</v>
      </c>
      <c r="B226" s="34" t="s">
        <v>179</v>
      </c>
      <c r="C226" s="399">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604" t="s">
        <v>181</v>
      </c>
      <c r="B237" s="1605"/>
      <c r="C237" s="1605"/>
    </row>
    <row r="238" spans="1:3" ht="18.75" hidden="1">
      <c r="A238" s="1602" t="s">
        <v>69</v>
      </c>
      <c r="B238" s="1603"/>
      <c r="C238" s="387" t="s">
        <v>339</v>
      </c>
    </row>
    <row r="239" spans="1:3" ht="15.75" hidden="1">
      <c r="A239" s="1600" t="s">
        <v>6</v>
      </c>
      <c r="B239" s="1601"/>
      <c r="C239" s="397">
        <v>1</v>
      </c>
    </row>
    <row r="240" spans="1:3" ht="24.75" customHeight="1" hidden="1">
      <c r="A240" s="395" t="s">
        <v>51</v>
      </c>
      <c r="B240" s="396" t="s">
        <v>347</v>
      </c>
      <c r="C240" s="398">
        <f>SUM(C241:C246)</f>
        <v>0</v>
      </c>
    </row>
    <row r="241" spans="1:3" ht="24.75" customHeight="1" hidden="1">
      <c r="A241" s="5" t="s">
        <v>53</v>
      </c>
      <c r="B241" s="34" t="s">
        <v>152</v>
      </c>
      <c r="C241" s="399"/>
    </row>
    <row r="242" spans="1:3" ht="24.75" customHeight="1" hidden="1">
      <c r="A242" s="5" t="s">
        <v>54</v>
      </c>
      <c r="B242" s="34" t="s">
        <v>153</v>
      </c>
      <c r="C242" s="399"/>
    </row>
    <row r="243" spans="1:3" ht="24.75" customHeight="1" hidden="1">
      <c r="A243" s="5" t="s">
        <v>140</v>
      </c>
      <c r="B243" s="34" t="s">
        <v>154</v>
      </c>
      <c r="C243" s="399"/>
    </row>
    <row r="244" spans="1:3" ht="24.75" customHeight="1" hidden="1">
      <c r="A244" s="5" t="s">
        <v>142</v>
      </c>
      <c r="B244" s="34" t="s">
        <v>155</v>
      </c>
      <c r="C244" s="399"/>
    </row>
    <row r="245" spans="1:3" ht="24.75" customHeight="1" hidden="1">
      <c r="A245" s="5" t="s">
        <v>144</v>
      </c>
      <c r="B245" s="34" t="s">
        <v>156</v>
      </c>
      <c r="C245" s="399"/>
    </row>
    <row r="246" spans="1:3" ht="24.75" customHeight="1" hidden="1">
      <c r="A246" s="5" t="s">
        <v>146</v>
      </c>
      <c r="B246" s="34" t="s">
        <v>157</v>
      </c>
      <c r="C246" s="399"/>
    </row>
    <row r="247" spans="1:3" ht="24.75" customHeight="1" hidden="1">
      <c r="A247" s="395" t="s">
        <v>52</v>
      </c>
      <c r="B247" s="396" t="s">
        <v>345</v>
      </c>
      <c r="C247" s="398">
        <f>SUM(C248:C249)</f>
        <v>0</v>
      </c>
    </row>
    <row r="248" spans="1:3" ht="24.75" customHeight="1" hidden="1">
      <c r="A248" s="5" t="s">
        <v>55</v>
      </c>
      <c r="B248" s="34" t="s">
        <v>158</v>
      </c>
      <c r="C248" s="399"/>
    </row>
    <row r="249" spans="1:3" ht="24.75" customHeight="1" hidden="1">
      <c r="A249" s="5" t="s">
        <v>56</v>
      </c>
      <c r="B249" s="34" t="s">
        <v>159</v>
      </c>
      <c r="C249" s="399"/>
    </row>
    <row r="250" spans="1:3" ht="24.75" customHeight="1" hidden="1">
      <c r="A250" s="395" t="s">
        <v>57</v>
      </c>
      <c r="B250" s="396" t="s">
        <v>149</v>
      </c>
      <c r="C250" s="398">
        <f>SUM(C251:C253)</f>
        <v>0</v>
      </c>
    </row>
    <row r="251" spans="1:3" ht="24.75" customHeight="1" hidden="1">
      <c r="A251" s="5" t="s">
        <v>160</v>
      </c>
      <c r="B251" s="37" t="s">
        <v>161</v>
      </c>
      <c r="C251" s="399"/>
    </row>
    <row r="252" spans="1:3" ht="24.75" customHeight="1" hidden="1">
      <c r="A252" s="5" t="s">
        <v>162</v>
      </c>
      <c r="B252" s="34" t="s">
        <v>163</v>
      </c>
      <c r="C252" s="399"/>
    </row>
    <row r="253" spans="1:3" ht="24.75" customHeight="1" hidden="1">
      <c r="A253" s="5" t="s">
        <v>164</v>
      </c>
      <c r="B253" s="34" t="s">
        <v>165</v>
      </c>
      <c r="C253" s="399"/>
    </row>
    <row r="254" spans="1:3" ht="24.75" customHeight="1" hidden="1">
      <c r="A254" s="395" t="s">
        <v>72</v>
      </c>
      <c r="B254" s="396" t="s">
        <v>346</v>
      </c>
      <c r="C254" s="398">
        <f>SUM(C255:C260)</f>
        <v>0</v>
      </c>
    </row>
    <row r="255" spans="1:3" ht="24.75" customHeight="1" hidden="1">
      <c r="A255" s="5" t="s">
        <v>166</v>
      </c>
      <c r="B255" s="34" t="s">
        <v>167</v>
      </c>
      <c r="C255" s="399"/>
    </row>
    <row r="256" spans="1:3" ht="24.75" customHeight="1" hidden="1">
      <c r="A256" s="5" t="s">
        <v>168</v>
      </c>
      <c r="B256" s="34" t="s">
        <v>169</v>
      </c>
      <c r="C256" s="399"/>
    </row>
    <row r="257" spans="1:3" ht="24.75" customHeight="1" hidden="1">
      <c r="A257" s="5" t="s">
        <v>170</v>
      </c>
      <c r="B257" s="34" t="s">
        <v>171</v>
      </c>
      <c r="C257" s="399"/>
    </row>
    <row r="258" spans="1:3" ht="24.75" customHeight="1" hidden="1">
      <c r="A258" s="5" t="s">
        <v>172</v>
      </c>
      <c r="B258" s="34" t="s">
        <v>155</v>
      </c>
      <c r="C258" s="399"/>
    </row>
    <row r="259" spans="1:3" ht="24.75" customHeight="1" hidden="1">
      <c r="A259" s="5" t="s">
        <v>173</v>
      </c>
      <c r="B259" s="34" t="s">
        <v>156</v>
      </c>
      <c r="C259" s="399"/>
    </row>
    <row r="260" spans="1:3" ht="24.75" customHeight="1" hidden="1">
      <c r="A260" s="5" t="s">
        <v>174</v>
      </c>
      <c r="B260" s="34" t="s">
        <v>175</v>
      </c>
      <c r="C260" s="399"/>
    </row>
    <row r="261" spans="1:3" ht="24.75" customHeight="1" hidden="1">
      <c r="A261" s="395" t="s">
        <v>73</v>
      </c>
      <c r="B261" s="396" t="s">
        <v>348</v>
      </c>
      <c r="C261" s="398">
        <f>SUM(C262:C264)</f>
        <v>45</v>
      </c>
    </row>
    <row r="262" spans="1:3" ht="24.75" customHeight="1" hidden="1">
      <c r="A262" s="5" t="s">
        <v>176</v>
      </c>
      <c r="B262" s="34" t="s">
        <v>167</v>
      </c>
      <c r="C262" s="399">
        <v>45</v>
      </c>
    </row>
    <row r="263" spans="1:3" ht="24.75" customHeight="1" hidden="1">
      <c r="A263" s="5" t="s">
        <v>177</v>
      </c>
      <c r="B263" s="34" t="s">
        <v>169</v>
      </c>
      <c r="C263" s="399">
        <v>0</v>
      </c>
    </row>
    <row r="264" spans="1:3" ht="24.75" customHeight="1" hidden="1">
      <c r="A264" s="5" t="s">
        <v>178</v>
      </c>
      <c r="B264" s="34" t="s">
        <v>179</v>
      </c>
      <c r="C264" s="399">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604" t="s">
        <v>181</v>
      </c>
      <c r="B277" s="1605"/>
      <c r="C277" s="1605"/>
    </row>
    <row r="278" spans="1:3" ht="18.75" hidden="1">
      <c r="A278" s="1602" t="s">
        <v>69</v>
      </c>
      <c r="B278" s="1603"/>
      <c r="C278" s="387" t="s">
        <v>339</v>
      </c>
    </row>
    <row r="279" spans="1:3" ht="15.75" hidden="1">
      <c r="A279" s="1600" t="s">
        <v>6</v>
      </c>
      <c r="B279" s="1601"/>
      <c r="C279" s="397">
        <v>1</v>
      </c>
    </row>
    <row r="280" spans="1:3" ht="24.75" customHeight="1" hidden="1">
      <c r="A280" s="395" t="s">
        <v>51</v>
      </c>
      <c r="B280" s="396" t="s">
        <v>347</v>
      </c>
      <c r="C280" s="398">
        <f>SUM(C281:C286)</f>
        <v>0</v>
      </c>
    </row>
    <row r="281" spans="1:3" ht="24.75" customHeight="1" hidden="1">
      <c r="A281" s="5" t="s">
        <v>53</v>
      </c>
      <c r="B281" s="34" t="s">
        <v>152</v>
      </c>
      <c r="C281" s="399"/>
    </row>
    <row r="282" spans="1:3" ht="24.75" customHeight="1" hidden="1">
      <c r="A282" s="5" t="s">
        <v>54</v>
      </c>
      <c r="B282" s="34" t="s">
        <v>153</v>
      </c>
      <c r="C282" s="399"/>
    </row>
    <row r="283" spans="1:3" ht="24.75" customHeight="1" hidden="1">
      <c r="A283" s="5" t="s">
        <v>140</v>
      </c>
      <c r="B283" s="34" t="s">
        <v>154</v>
      </c>
      <c r="C283" s="399"/>
    </row>
    <row r="284" spans="1:3" ht="24.75" customHeight="1" hidden="1">
      <c r="A284" s="5" t="s">
        <v>142</v>
      </c>
      <c r="B284" s="34" t="s">
        <v>155</v>
      </c>
      <c r="C284" s="399"/>
    </row>
    <row r="285" spans="1:3" ht="24.75" customHeight="1" hidden="1">
      <c r="A285" s="5" t="s">
        <v>144</v>
      </c>
      <c r="B285" s="34" t="s">
        <v>156</v>
      </c>
      <c r="C285" s="399"/>
    </row>
    <row r="286" spans="1:3" ht="24.75" customHeight="1" hidden="1">
      <c r="A286" s="5" t="s">
        <v>146</v>
      </c>
      <c r="B286" s="34" t="s">
        <v>157</v>
      </c>
      <c r="C286" s="399"/>
    </row>
    <row r="287" spans="1:3" ht="24.75" customHeight="1" hidden="1">
      <c r="A287" s="395" t="s">
        <v>52</v>
      </c>
      <c r="B287" s="396" t="s">
        <v>345</v>
      </c>
      <c r="C287" s="398">
        <f>SUM(C288:C289)</f>
        <v>0</v>
      </c>
    </row>
    <row r="288" spans="1:3" ht="24.75" customHeight="1" hidden="1">
      <c r="A288" s="5" t="s">
        <v>55</v>
      </c>
      <c r="B288" s="34" t="s">
        <v>158</v>
      </c>
      <c r="C288" s="399"/>
    </row>
    <row r="289" spans="1:3" ht="24.75" customHeight="1" hidden="1">
      <c r="A289" s="5" t="s">
        <v>56</v>
      </c>
      <c r="B289" s="34" t="s">
        <v>159</v>
      </c>
      <c r="C289" s="399"/>
    </row>
    <row r="290" spans="1:3" ht="24.75" customHeight="1" hidden="1">
      <c r="A290" s="395" t="s">
        <v>57</v>
      </c>
      <c r="B290" s="396" t="s">
        <v>149</v>
      </c>
      <c r="C290" s="398">
        <f>SUM(C291:C293)</f>
        <v>0</v>
      </c>
    </row>
    <row r="291" spans="1:3" ht="24.75" customHeight="1" hidden="1">
      <c r="A291" s="5" t="s">
        <v>160</v>
      </c>
      <c r="B291" s="37" t="s">
        <v>161</v>
      </c>
      <c r="C291" s="399"/>
    </row>
    <row r="292" spans="1:3" ht="24.75" customHeight="1" hidden="1">
      <c r="A292" s="5" t="s">
        <v>162</v>
      </c>
      <c r="B292" s="34" t="s">
        <v>163</v>
      </c>
      <c r="C292" s="399"/>
    </row>
    <row r="293" spans="1:3" ht="24.75" customHeight="1" hidden="1">
      <c r="A293" s="5" t="s">
        <v>164</v>
      </c>
      <c r="B293" s="34" t="s">
        <v>165</v>
      </c>
      <c r="C293" s="399"/>
    </row>
    <row r="294" spans="1:3" ht="24.75" customHeight="1" hidden="1">
      <c r="A294" s="395" t="s">
        <v>72</v>
      </c>
      <c r="B294" s="396" t="s">
        <v>346</v>
      </c>
      <c r="C294" s="398">
        <f>SUM(C295:C300)</f>
        <v>0</v>
      </c>
    </row>
    <row r="295" spans="1:3" ht="24.75" customHeight="1" hidden="1">
      <c r="A295" s="5" t="s">
        <v>166</v>
      </c>
      <c r="B295" s="34" t="s">
        <v>167</v>
      </c>
      <c r="C295" s="399"/>
    </row>
    <row r="296" spans="1:3" ht="24.75" customHeight="1" hidden="1">
      <c r="A296" s="5" t="s">
        <v>168</v>
      </c>
      <c r="B296" s="34" t="s">
        <v>169</v>
      </c>
      <c r="C296" s="399"/>
    </row>
    <row r="297" spans="1:3" ht="24.75" customHeight="1" hidden="1">
      <c r="A297" s="5" t="s">
        <v>170</v>
      </c>
      <c r="B297" s="34" t="s">
        <v>171</v>
      </c>
      <c r="C297" s="399"/>
    </row>
    <row r="298" spans="1:3" ht="24.75" customHeight="1" hidden="1">
      <c r="A298" s="5" t="s">
        <v>172</v>
      </c>
      <c r="B298" s="34" t="s">
        <v>155</v>
      </c>
      <c r="C298" s="399"/>
    </row>
    <row r="299" spans="1:3" ht="24.75" customHeight="1" hidden="1">
      <c r="A299" s="5" t="s">
        <v>173</v>
      </c>
      <c r="B299" s="34" t="s">
        <v>156</v>
      </c>
      <c r="C299" s="399"/>
    </row>
    <row r="300" spans="1:3" ht="24.75" customHeight="1" hidden="1">
      <c r="A300" s="5" t="s">
        <v>174</v>
      </c>
      <c r="B300" s="34" t="s">
        <v>175</v>
      </c>
      <c r="C300" s="399"/>
    </row>
    <row r="301" spans="1:3" ht="24.75" customHeight="1" hidden="1">
      <c r="A301" s="395" t="s">
        <v>73</v>
      </c>
      <c r="B301" s="396" t="s">
        <v>348</v>
      </c>
      <c r="C301" s="398">
        <f>SUM(C302:C304)</f>
        <v>11</v>
      </c>
    </row>
    <row r="302" spans="1:3" ht="24.75" customHeight="1" hidden="1">
      <c r="A302" s="5" t="s">
        <v>176</v>
      </c>
      <c r="B302" s="34" t="s">
        <v>167</v>
      </c>
      <c r="C302" s="399">
        <v>9</v>
      </c>
    </row>
    <row r="303" spans="1:3" ht="24.75" customHeight="1" hidden="1">
      <c r="A303" s="5" t="s">
        <v>177</v>
      </c>
      <c r="B303" s="34" t="s">
        <v>169</v>
      </c>
      <c r="C303" s="399">
        <v>0</v>
      </c>
    </row>
    <row r="304" spans="1:3" ht="24.75" customHeight="1" hidden="1">
      <c r="A304" s="5" t="s">
        <v>178</v>
      </c>
      <c r="B304" s="34" t="s">
        <v>179</v>
      </c>
      <c r="C304" s="399">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604" t="s">
        <v>181</v>
      </c>
      <c r="B315" s="1605"/>
      <c r="C315" s="1605"/>
    </row>
    <row r="316" spans="1:3" ht="18.75" hidden="1">
      <c r="A316" s="1602" t="s">
        <v>69</v>
      </c>
      <c r="B316" s="1603"/>
      <c r="C316" s="387" t="s">
        <v>339</v>
      </c>
    </row>
    <row r="317" spans="1:3" ht="15.75" hidden="1">
      <c r="A317" s="1600" t="s">
        <v>6</v>
      </c>
      <c r="B317" s="1601"/>
      <c r="C317" s="397">
        <v>1</v>
      </c>
    </row>
    <row r="318" spans="1:3" ht="24.75" customHeight="1" hidden="1">
      <c r="A318" s="395" t="s">
        <v>51</v>
      </c>
      <c r="B318" s="396" t="s">
        <v>347</v>
      </c>
      <c r="C318" s="398">
        <f>SUM(C319:C324)</f>
        <v>0</v>
      </c>
    </row>
    <row r="319" spans="1:3" ht="24.75" customHeight="1" hidden="1">
      <c r="A319" s="5" t="s">
        <v>53</v>
      </c>
      <c r="B319" s="34" t="s">
        <v>152</v>
      </c>
      <c r="C319" s="399"/>
    </row>
    <row r="320" spans="1:3" ht="24.75" customHeight="1" hidden="1">
      <c r="A320" s="5" t="s">
        <v>54</v>
      </c>
      <c r="B320" s="34" t="s">
        <v>153</v>
      </c>
      <c r="C320" s="399"/>
    </row>
    <row r="321" spans="1:3" ht="24.75" customHeight="1" hidden="1">
      <c r="A321" s="5" t="s">
        <v>140</v>
      </c>
      <c r="B321" s="34" t="s">
        <v>154</v>
      </c>
      <c r="C321" s="399"/>
    </row>
    <row r="322" spans="1:3" ht="24.75" customHeight="1" hidden="1">
      <c r="A322" s="5" t="s">
        <v>142</v>
      </c>
      <c r="B322" s="34" t="s">
        <v>155</v>
      </c>
      <c r="C322" s="399"/>
    </row>
    <row r="323" spans="1:3" ht="24.75" customHeight="1" hidden="1">
      <c r="A323" s="5" t="s">
        <v>144</v>
      </c>
      <c r="B323" s="34" t="s">
        <v>156</v>
      </c>
      <c r="C323" s="399"/>
    </row>
    <row r="324" spans="1:3" ht="24.75" customHeight="1" hidden="1">
      <c r="A324" s="5" t="s">
        <v>146</v>
      </c>
      <c r="B324" s="34" t="s">
        <v>157</v>
      </c>
      <c r="C324" s="399"/>
    </row>
    <row r="325" spans="1:3" ht="24.75" customHeight="1" hidden="1">
      <c r="A325" s="395" t="s">
        <v>52</v>
      </c>
      <c r="B325" s="396" t="s">
        <v>345</v>
      </c>
      <c r="C325" s="398">
        <f>SUM(C326:C327)</f>
        <v>0</v>
      </c>
    </row>
    <row r="326" spans="1:3" ht="24.75" customHeight="1" hidden="1">
      <c r="A326" s="5" t="s">
        <v>55</v>
      </c>
      <c r="B326" s="34" t="s">
        <v>158</v>
      </c>
      <c r="C326" s="399"/>
    </row>
    <row r="327" spans="1:3" ht="24.75" customHeight="1" hidden="1">
      <c r="A327" s="5" t="s">
        <v>56</v>
      </c>
      <c r="B327" s="34" t="s">
        <v>159</v>
      </c>
      <c r="C327" s="399"/>
    </row>
    <row r="328" spans="1:3" ht="24.75" customHeight="1" hidden="1">
      <c r="A328" s="395" t="s">
        <v>57</v>
      </c>
      <c r="B328" s="396" t="s">
        <v>149</v>
      </c>
      <c r="C328" s="398">
        <f>SUM(C329:C331)</f>
        <v>0</v>
      </c>
    </row>
    <row r="329" spans="1:3" ht="24.75" customHeight="1" hidden="1">
      <c r="A329" s="5" t="s">
        <v>160</v>
      </c>
      <c r="B329" s="37" t="s">
        <v>161</v>
      </c>
      <c r="C329" s="399"/>
    </row>
    <row r="330" spans="1:3" ht="24.75" customHeight="1" hidden="1">
      <c r="A330" s="5" t="s">
        <v>162</v>
      </c>
      <c r="B330" s="34" t="s">
        <v>163</v>
      </c>
      <c r="C330" s="399"/>
    </row>
    <row r="331" spans="1:3" ht="24.75" customHeight="1" hidden="1">
      <c r="A331" s="5" t="s">
        <v>164</v>
      </c>
      <c r="B331" s="34" t="s">
        <v>165</v>
      </c>
      <c r="C331" s="399"/>
    </row>
    <row r="332" spans="1:3" ht="24.75" customHeight="1" hidden="1">
      <c r="A332" s="395" t="s">
        <v>72</v>
      </c>
      <c r="B332" s="396" t="s">
        <v>346</v>
      </c>
      <c r="C332" s="398">
        <f>SUM(C333:C338)</f>
        <v>0</v>
      </c>
    </row>
    <row r="333" spans="1:3" ht="24.75" customHeight="1" hidden="1">
      <c r="A333" s="5" t="s">
        <v>166</v>
      </c>
      <c r="B333" s="34" t="s">
        <v>167</v>
      </c>
      <c r="C333" s="399"/>
    </row>
    <row r="334" spans="1:3" ht="24.75" customHeight="1" hidden="1">
      <c r="A334" s="5" t="s">
        <v>168</v>
      </c>
      <c r="B334" s="34" t="s">
        <v>169</v>
      </c>
      <c r="C334" s="399"/>
    </row>
    <row r="335" spans="1:3" ht="24.75" customHeight="1" hidden="1">
      <c r="A335" s="5" t="s">
        <v>170</v>
      </c>
      <c r="B335" s="34" t="s">
        <v>171</v>
      </c>
      <c r="C335" s="399"/>
    </row>
    <row r="336" spans="1:3" ht="24.75" customHeight="1" hidden="1">
      <c r="A336" s="5" t="s">
        <v>172</v>
      </c>
      <c r="B336" s="34" t="s">
        <v>155</v>
      </c>
      <c r="C336" s="399"/>
    </row>
    <row r="337" spans="1:3" ht="24.75" customHeight="1" hidden="1">
      <c r="A337" s="5" t="s">
        <v>173</v>
      </c>
      <c r="B337" s="34" t="s">
        <v>156</v>
      </c>
      <c r="C337" s="399"/>
    </row>
    <row r="338" spans="1:3" ht="24.75" customHeight="1" hidden="1">
      <c r="A338" s="5" t="s">
        <v>174</v>
      </c>
      <c r="B338" s="34" t="s">
        <v>175</v>
      </c>
      <c r="C338" s="399"/>
    </row>
    <row r="339" spans="1:3" ht="24.75" customHeight="1" hidden="1">
      <c r="A339" s="395" t="s">
        <v>73</v>
      </c>
      <c r="B339" s="396" t="s">
        <v>348</v>
      </c>
      <c r="C339" s="398">
        <f>SUM(C340:C342)</f>
        <v>16</v>
      </c>
    </row>
    <row r="340" spans="1:3" ht="24.75" customHeight="1" hidden="1">
      <c r="A340" s="5" t="s">
        <v>176</v>
      </c>
      <c r="B340" s="34" t="s">
        <v>167</v>
      </c>
      <c r="C340" s="399">
        <v>16</v>
      </c>
    </row>
    <row r="341" spans="1:3" ht="24.75" customHeight="1" hidden="1">
      <c r="A341" s="5" t="s">
        <v>177</v>
      </c>
      <c r="B341" s="34" t="s">
        <v>169</v>
      </c>
      <c r="C341" s="399"/>
    </row>
    <row r="342" spans="1:3" ht="24.75" customHeight="1" hidden="1">
      <c r="A342" s="5" t="s">
        <v>178</v>
      </c>
      <c r="B342" s="34" t="s">
        <v>179</v>
      </c>
      <c r="C342" s="399"/>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604" t="s">
        <v>181</v>
      </c>
      <c r="B352" s="1605"/>
      <c r="C352" s="1605"/>
    </row>
    <row r="353" spans="1:3" ht="18.75" hidden="1">
      <c r="A353" s="1602" t="s">
        <v>69</v>
      </c>
      <c r="B353" s="1603"/>
      <c r="C353" s="387" t="s">
        <v>339</v>
      </c>
    </row>
    <row r="354" spans="1:3" ht="15.75" hidden="1">
      <c r="A354" s="1600" t="s">
        <v>6</v>
      </c>
      <c r="B354" s="1601"/>
      <c r="C354" s="397">
        <v>1</v>
      </c>
    </row>
    <row r="355" spans="1:3" ht="24.75" customHeight="1" hidden="1">
      <c r="A355" s="395" t="s">
        <v>51</v>
      </c>
      <c r="B355" s="396" t="s">
        <v>347</v>
      </c>
      <c r="C355" s="398">
        <f>SUM(C356:C361)</f>
        <v>2</v>
      </c>
    </row>
    <row r="356" spans="1:3" ht="24.75" customHeight="1" hidden="1">
      <c r="A356" s="5" t="s">
        <v>53</v>
      </c>
      <c r="B356" s="34" t="s">
        <v>152</v>
      </c>
      <c r="C356" s="399">
        <v>2</v>
      </c>
    </row>
    <row r="357" spans="1:3" ht="24.75" customHeight="1" hidden="1">
      <c r="A357" s="5" t="s">
        <v>54</v>
      </c>
      <c r="B357" s="34" t="s">
        <v>153</v>
      </c>
      <c r="C357" s="399">
        <v>0</v>
      </c>
    </row>
    <row r="358" spans="1:3" ht="24.75" customHeight="1" hidden="1">
      <c r="A358" s="5" t="s">
        <v>140</v>
      </c>
      <c r="B358" s="34" t="s">
        <v>154</v>
      </c>
      <c r="C358" s="399">
        <v>0</v>
      </c>
    </row>
    <row r="359" spans="1:3" ht="24.75" customHeight="1" hidden="1">
      <c r="A359" s="5" t="s">
        <v>142</v>
      </c>
      <c r="B359" s="34" t="s">
        <v>155</v>
      </c>
      <c r="C359" s="399">
        <v>0</v>
      </c>
    </row>
    <row r="360" spans="1:3" ht="24.75" customHeight="1" hidden="1">
      <c r="A360" s="5" t="s">
        <v>144</v>
      </c>
      <c r="B360" s="34" t="s">
        <v>156</v>
      </c>
      <c r="C360" s="399">
        <v>0</v>
      </c>
    </row>
    <row r="361" spans="1:3" ht="24.75" customHeight="1" hidden="1">
      <c r="A361" s="5" t="s">
        <v>146</v>
      </c>
      <c r="B361" s="34" t="s">
        <v>157</v>
      </c>
      <c r="C361" s="399">
        <v>0</v>
      </c>
    </row>
    <row r="362" spans="1:3" ht="24.75" customHeight="1" hidden="1">
      <c r="A362" s="395" t="s">
        <v>52</v>
      </c>
      <c r="B362" s="396" t="s">
        <v>345</v>
      </c>
      <c r="C362" s="398">
        <f>SUM(C363:C364)</f>
        <v>0</v>
      </c>
    </row>
    <row r="363" spans="1:3" ht="24.75" customHeight="1" hidden="1">
      <c r="A363" s="5" t="s">
        <v>55</v>
      </c>
      <c r="B363" s="34" t="s">
        <v>158</v>
      </c>
      <c r="C363" s="399"/>
    </row>
    <row r="364" spans="1:3" ht="24.75" customHeight="1" hidden="1">
      <c r="A364" s="5" t="s">
        <v>56</v>
      </c>
      <c r="B364" s="34" t="s">
        <v>159</v>
      </c>
      <c r="C364" s="399"/>
    </row>
    <row r="365" spans="1:3" ht="24.75" customHeight="1" hidden="1">
      <c r="A365" s="395" t="s">
        <v>57</v>
      </c>
      <c r="B365" s="396" t="s">
        <v>149</v>
      </c>
      <c r="C365" s="398">
        <f>SUM(C366:C368)</f>
        <v>10</v>
      </c>
    </row>
    <row r="366" spans="1:3" ht="24.75" customHeight="1" hidden="1">
      <c r="A366" s="5" t="s">
        <v>160</v>
      </c>
      <c r="B366" s="37" t="s">
        <v>161</v>
      </c>
      <c r="C366" s="399">
        <v>0</v>
      </c>
    </row>
    <row r="367" spans="1:3" ht="24.75" customHeight="1" hidden="1">
      <c r="A367" s="5" t="s">
        <v>162</v>
      </c>
      <c r="B367" s="34" t="s">
        <v>163</v>
      </c>
      <c r="C367" s="399">
        <v>10</v>
      </c>
    </row>
    <row r="368" spans="1:3" ht="24.75" customHeight="1" hidden="1">
      <c r="A368" s="5" t="s">
        <v>164</v>
      </c>
      <c r="B368" s="34" t="s">
        <v>165</v>
      </c>
      <c r="C368" s="399">
        <v>0</v>
      </c>
    </row>
    <row r="369" spans="1:3" ht="24.75" customHeight="1" hidden="1">
      <c r="A369" s="395" t="s">
        <v>72</v>
      </c>
      <c r="B369" s="396" t="s">
        <v>346</v>
      </c>
      <c r="C369" s="398">
        <f>SUM(C370:C375)</f>
        <v>0</v>
      </c>
    </row>
    <row r="370" spans="1:3" ht="24.75" customHeight="1" hidden="1">
      <c r="A370" s="5" t="s">
        <v>166</v>
      </c>
      <c r="B370" s="34" t="s">
        <v>167</v>
      </c>
      <c r="C370" s="399"/>
    </row>
    <row r="371" spans="1:3" ht="24.75" customHeight="1" hidden="1">
      <c r="A371" s="5" t="s">
        <v>168</v>
      </c>
      <c r="B371" s="34" t="s">
        <v>169</v>
      </c>
      <c r="C371" s="399"/>
    </row>
    <row r="372" spans="1:3" ht="24.75" customHeight="1" hidden="1">
      <c r="A372" s="5" t="s">
        <v>170</v>
      </c>
      <c r="B372" s="34" t="s">
        <v>171</v>
      </c>
      <c r="C372" s="399"/>
    </row>
    <row r="373" spans="1:3" ht="24.75" customHeight="1" hidden="1">
      <c r="A373" s="5" t="s">
        <v>172</v>
      </c>
      <c r="B373" s="34" t="s">
        <v>155</v>
      </c>
      <c r="C373" s="399"/>
    </row>
    <row r="374" spans="1:3" ht="24.75" customHeight="1" hidden="1">
      <c r="A374" s="5" t="s">
        <v>173</v>
      </c>
      <c r="B374" s="34" t="s">
        <v>156</v>
      </c>
      <c r="C374" s="399"/>
    </row>
    <row r="375" spans="1:3" ht="24.75" customHeight="1" hidden="1">
      <c r="A375" s="5" t="s">
        <v>174</v>
      </c>
      <c r="B375" s="34" t="s">
        <v>175</v>
      </c>
      <c r="C375" s="399"/>
    </row>
    <row r="376" spans="1:3" ht="24.75" customHeight="1" hidden="1">
      <c r="A376" s="395" t="s">
        <v>73</v>
      </c>
      <c r="B376" s="396" t="s">
        <v>348</v>
      </c>
      <c r="C376" s="398">
        <f>SUM(C377:C379)</f>
        <v>30</v>
      </c>
    </row>
    <row r="377" spans="1:3" ht="24.75" customHeight="1" hidden="1">
      <c r="A377" s="5" t="s">
        <v>176</v>
      </c>
      <c r="B377" s="34" t="s">
        <v>167</v>
      </c>
      <c r="C377" s="399">
        <v>30</v>
      </c>
    </row>
    <row r="378" spans="1:3" ht="24.75" customHeight="1" hidden="1">
      <c r="A378" s="5" t="s">
        <v>177</v>
      </c>
      <c r="B378" s="34" t="s">
        <v>169</v>
      </c>
      <c r="C378" s="399">
        <v>0</v>
      </c>
    </row>
    <row r="379" spans="1:3" ht="24.75" customHeight="1" hidden="1">
      <c r="A379" s="5" t="s">
        <v>178</v>
      </c>
      <c r="B379" s="34" t="s">
        <v>179</v>
      </c>
      <c r="C379" s="399">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604" t="s">
        <v>181</v>
      </c>
      <c r="B394" s="1605"/>
      <c r="C394" s="1605"/>
    </row>
    <row r="395" spans="1:3" ht="18.75" hidden="1">
      <c r="A395" s="1602" t="s">
        <v>69</v>
      </c>
      <c r="B395" s="1603"/>
      <c r="C395" s="387" t="s">
        <v>339</v>
      </c>
    </row>
    <row r="396" spans="1:3" ht="15.75" hidden="1">
      <c r="A396" s="1600" t="s">
        <v>6</v>
      </c>
      <c r="B396" s="1601"/>
      <c r="C396" s="397">
        <v>1</v>
      </c>
    </row>
    <row r="397" spans="1:3" ht="24.75" customHeight="1" hidden="1">
      <c r="A397" s="395" t="s">
        <v>51</v>
      </c>
      <c r="B397" s="396" t="s">
        <v>347</v>
      </c>
      <c r="C397" s="398">
        <f>SUM(C398:C403)</f>
        <v>0</v>
      </c>
    </row>
    <row r="398" spans="1:3" ht="24.75" customHeight="1" hidden="1">
      <c r="A398" s="5" t="s">
        <v>53</v>
      </c>
      <c r="B398" s="34" t="s">
        <v>152</v>
      </c>
      <c r="C398" s="399"/>
    </row>
    <row r="399" spans="1:3" ht="24.75" customHeight="1" hidden="1">
      <c r="A399" s="5" t="s">
        <v>54</v>
      </c>
      <c r="B399" s="34" t="s">
        <v>153</v>
      </c>
      <c r="C399" s="399"/>
    </row>
    <row r="400" spans="1:3" ht="24.75" customHeight="1" hidden="1">
      <c r="A400" s="5" t="s">
        <v>140</v>
      </c>
      <c r="B400" s="34" t="s">
        <v>154</v>
      </c>
      <c r="C400" s="399"/>
    </row>
    <row r="401" spans="1:3" ht="24.75" customHeight="1" hidden="1">
      <c r="A401" s="5" t="s">
        <v>142</v>
      </c>
      <c r="B401" s="34" t="s">
        <v>155</v>
      </c>
      <c r="C401" s="399"/>
    </row>
    <row r="402" spans="1:3" ht="24.75" customHeight="1" hidden="1">
      <c r="A402" s="5" t="s">
        <v>144</v>
      </c>
      <c r="B402" s="34" t="s">
        <v>156</v>
      </c>
      <c r="C402" s="399"/>
    </row>
    <row r="403" spans="1:3" ht="24.75" customHeight="1" hidden="1">
      <c r="A403" s="5" t="s">
        <v>146</v>
      </c>
      <c r="B403" s="34" t="s">
        <v>157</v>
      </c>
      <c r="C403" s="399"/>
    </row>
    <row r="404" spans="1:3" ht="24.75" customHeight="1" hidden="1">
      <c r="A404" s="395" t="s">
        <v>52</v>
      </c>
      <c r="B404" s="396" t="s">
        <v>345</v>
      </c>
      <c r="C404" s="398">
        <f>SUM(C405:C406)</f>
        <v>0</v>
      </c>
    </row>
    <row r="405" spans="1:3" ht="24.75" customHeight="1" hidden="1">
      <c r="A405" s="5" t="s">
        <v>55</v>
      </c>
      <c r="B405" s="34" t="s">
        <v>158</v>
      </c>
      <c r="C405" s="399"/>
    </row>
    <row r="406" spans="1:3" ht="24.75" customHeight="1" hidden="1">
      <c r="A406" s="5" t="s">
        <v>56</v>
      </c>
      <c r="B406" s="34" t="s">
        <v>159</v>
      </c>
      <c r="C406" s="399"/>
    </row>
    <row r="407" spans="1:3" ht="24.75" customHeight="1" hidden="1">
      <c r="A407" s="395" t="s">
        <v>57</v>
      </c>
      <c r="B407" s="396" t="s">
        <v>149</v>
      </c>
      <c r="C407" s="398">
        <f>SUM(C408:C410)</f>
        <v>0</v>
      </c>
    </row>
    <row r="408" spans="1:3" ht="24.75" customHeight="1" hidden="1">
      <c r="A408" s="5" t="s">
        <v>160</v>
      </c>
      <c r="B408" s="37" t="s">
        <v>161</v>
      </c>
      <c r="C408" s="399"/>
    </row>
    <row r="409" spans="1:3" ht="24.75" customHeight="1" hidden="1">
      <c r="A409" s="5" t="s">
        <v>162</v>
      </c>
      <c r="B409" s="34" t="s">
        <v>163</v>
      </c>
      <c r="C409" s="399"/>
    </row>
    <row r="410" spans="1:3" ht="24.75" customHeight="1" hidden="1">
      <c r="A410" s="5" t="s">
        <v>164</v>
      </c>
      <c r="B410" s="34" t="s">
        <v>165</v>
      </c>
      <c r="C410" s="399"/>
    </row>
    <row r="411" spans="1:3" ht="24.75" customHeight="1" hidden="1">
      <c r="A411" s="395" t="s">
        <v>72</v>
      </c>
      <c r="B411" s="396" t="s">
        <v>346</v>
      </c>
      <c r="C411" s="398">
        <f>SUM(C412:C417)</f>
        <v>0</v>
      </c>
    </row>
    <row r="412" spans="1:3" ht="24.75" customHeight="1" hidden="1">
      <c r="A412" s="5" t="s">
        <v>166</v>
      </c>
      <c r="B412" s="34" t="s">
        <v>167</v>
      </c>
      <c r="C412" s="399"/>
    </row>
    <row r="413" spans="1:3" ht="24.75" customHeight="1" hidden="1">
      <c r="A413" s="5" t="s">
        <v>168</v>
      </c>
      <c r="B413" s="34" t="s">
        <v>169</v>
      </c>
      <c r="C413" s="399"/>
    </row>
    <row r="414" spans="1:3" ht="24.75" customHeight="1" hidden="1">
      <c r="A414" s="5" t="s">
        <v>170</v>
      </c>
      <c r="B414" s="34" t="s">
        <v>171</v>
      </c>
      <c r="C414" s="399"/>
    </row>
    <row r="415" spans="1:3" ht="24.75" customHeight="1" hidden="1">
      <c r="A415" s="5" t="s">
        <v>172</v>
      </c>
      <c r="B415" s="34" t="s">
        <v>155</v>
      </c>
      <c r="C415" s="399"/>
    </row>
    <row r="416" spans="1:3" ht="24.75" customHeight="1" hidden="1">
      <c r="A416" s="5" t="s">
        <v>173</v>
      </c>
      <c r="B416" s="34" t="s">
        <v>156</v>
      </c>
      <c r="C416" s="399"/>
    </row>
    <row r="417" spans="1:3" ht="24.75" customHeight="1" hidden="1">
      <c r="A417" s="5" t="s">
        <v>174</v>
      </c>
      <c r="B417" s="34" t="s">
        <v>175</v>
      </c>
      <c r="C417" s="399"/>
    </row>
    <row r="418" spans="1:3" ht="24.75" customHeight="1" hidden="1">
      <c r="A418" s="395" t="s">
        <v>73</v>
      </c>
      <c r="B418" s="396" t="s">
        <v>348</v>
      </c>
      <c r="C418" s="398">
        <f>SUM(C419:C421)</f>
        <v>31</v>
      </c>
    </row>
    <row r="419" spans="1:3" ht="24.75" customHeight="1" hidden="1">
      <c r="A419" s="5" t="s">
        <v>176</v>
      </c>
      <c r="B419" s="34" t="s">
        <v>167</v>
      </c>
      <c r="C419" s="399">
        <v>31</v>
      </c>
    </row>
    <row r="420" spans="1:3" ht="24.75" customHeight="1" hidden="1">
      <c r="A420" s="5" t="s">
        <v>177</v>
      </c>
      <c r="B420" s="34" t="s">
        <v>169</v>
      </c>
      <c r="C420" s="399">
        <v>0</v>
      </c>
    </row>
    <row r="421" spans="1:3" ht="24.75" customHeight="1" hidden="1">
      <c r="A421" s="5" t="s">
        <v>178</v>
      </c>
      <c r="B421" s="34" t="s">
        <v>179</v>
      </c>
      <c r="C421" s="399">
        <v>0</v>
      </c>
    </row>
    <row r="422" ht="15.75" hidden="1"/>
    <row r="423" ht="15.75" hidden="1"/>
    <row r="424" ht="15.75" hidden="1"/>
    <row r="425" ht="15.75" hidden="1"/>
    <row r="426" ht="15.75" hidden="1"/>
    <row r="427" ht="15.75" customHeight="1" hidden="1"/>
    <row r="428" ht="15.75" hidden="1"/>
    <row r="429" ht="15.75" hidden="1"/>
    <row r="430" spans="1:3" ht="16.5" customHeight="1" hidden="1">
      <c r="A430" s="1604" t="s">
        <v>181</v>
      </c>
      <c r="B430" s="1605"/>
      <c r="C430" s="1605"/>
    </row>
    <row r="431" spans="1:3" ht="18.75" hidden="1">
      <c r="A431" s="1602" t="s">
        <v>69</v>
      </c>
      <c r="B431" s="1603"/>
      <c r="C431" s="387" t="s">
        <v>339</v>
      </c>
    </row>
    <row r="432" spans="1:3" ht="15.75" hidden="1">
      <c r="A432" s="1600" t="s">
        <v>6</v>
      </c>
      <c r="B432" s="1601"/>
      <c r="C432" s="397">
        <v>1</v>
      </c>
    </row>
    <row r="433" spans="1:3" ht="24.75" customHeight="1" hidden="1">
      <c r="A433" s="395" t="s">
        <v>51</v>
      </c>
      <c r="B433" s="396" t="s">
        <v>347</v>
      </c>
      <c r="C433" s="398">
        <f>SUM(C434:C439)</f>
        <v>0</v>
      </c>
    </row>
    <row r="434" spans="1:3" ht="24.75" customHeight="1" hidden="1">
      <c r="A434" s="5" t="s">
        <v>53</v>
      </c>
      <c r="B434" s="34" t="s">
        <v>152</v>
      </c>
      <c r="C434" s="399"/>
    </row>
    <row r="435" spans="1:3" ht="24.75" customHeight="1" hidden="1">
      <c r="A435" s="5" t="s">
        <v>54</v>
      </c>
      <c r="B435" s="34" t="s">
        <v>153</v>
      </c>
      <c r="C435" s="399"/>
    </row>
    <row r="436" spans="1:3" ht="24.75" customHeight="1" hidden="1">
      <c r="A436" s="5" t="s">
        <v>140</v>
      </c>
      <c r="B436" s="34" t="s">
        <v>154</v>
      </c>
      <c r="C436" s="399"/>
    </row>
    <row r="437" spans="1:3" ht="24.75" customHeight="1" hidden="1">
      <c r="A437" s="5" t="s">
        <v>142</v>
      </c>
      <c r="B437" s="34" t="s">
        <v>155</v>
      </c>
      <c r="C437" s="399"/>
    </row>
    <row r="438" spans="1:3" ht="24.75" customHeight="1" hidden="1">
      <c r="A438" s="5" t="s">
        <v>144</v>
      </c>
      <c r="B438" s="34" t="s">
        <v>156</v>
      </c>
      <c r="C438" s="399"/>
    </row>
    <row r="439" spans="1:3" ht="24.75" customHeight="1" hidden="1">
      <c r="A439" s="5" t="s">
        <v>146</v>
      </c>
      <c r="B439" s="34" t="s">
        <v>157</v>
      </c>
      <c r="C439" s="399"/>
    </row>
    <row r="440" spans="1:3" ht="24.75" customHeight="1" hidden="1">
      <c r="A440" s="395" t="s">
        <v>52</v>
      </c>
      <c r="B440" s="396" t="s">
        <v>345</v>
      </c>
      <c r="C440" s="398">
        <f>SUM(C441:C442)</f>
        <v>0</v>
      </c>
    </row>
    <row r="441" spans="1:3" ht="24.75" customHeight="1" hidden="1">
      <c r="A441" s="5" t="s">
        <v>55</v>
      </c>
      <c r="B441" s="34" t="s">
        <v>158</v>
      </c>
      <c r="C441" s="399"/>
    </row>
    <row r="442" spans="1:3" ht="24.75" customHeight="1" hidden="1">
      <c r="A442" s="5" t="s">
        <v>56</v>
      </c>
      <c r="B442" s="34" t="s">
        <v>159</v>
      </c>
      <c r="C442" s="399"/>
    </row>
    <row r="443" spans="1:3" ht="24.75" customHeight="1" hidden="1">
      <c r="A443" s="395" t="s">
        <v>57</v>
      </c>
      <c r="B443" s="396" t="s">
        <v>149</v>
      </c>
      <c r="C443" s="398">
        <f>SUM(C444:C446)</f>
        <v>0</v>
      </c>
    </row>
    <row r="444" spans="1:3" ht="24.75" customHeight="1" hidden="1">
      <c r="A444" s="5" t="s">
        <v>160</v>
      </c>
      <c r="B444" s="37" t="s">
        <v>161</v>
      </c>
      <c r="C444" s="399"/>
    </row>
    <row r="445" spans="1:3" ht="24.75" customHeight="1" hidden="1">
      <c r="A445" s="5" t="s">
        <v>162</v>
      </c>
      <c r="B445" s="34" t="s">
        <v>163</v>
      </c>
      <c r="C445" s="399"/>
    </row>
    <row r="446" spans="1:3" ht="24.75" customHeight="1" hidden="1">
      <c r="A446" s="5" t="s">
        <v>164</v>
      </c>
      <c r="B446" s="34" t="s">
        <v>165</v>
      </c>
      <c r="C446" s="399"/>
    </row>
    <row r="447" spans="1:3" ht="24.75" customHeight="1" hidden="1">
      <c r="A447" s="395" t="s">
        <v>72</v>
      </c>
      <c r="B447" s="396" t="s">
        <v>346</v>
      </c>
      <c r="C447" s="398">
        <f>SUM(C448:C453)</f>
        <v>0</v>
      </c>
    </row>
    <row r="448" spans="1:3" ht="24.75" customHeight="1" hidden="1">
      <c r="A448" s="5" t="s">
        <v>166</v>
      </c>
      <c r="B448" s="34" t="s">
        <v>167</v>
      </c>
      <c r="C448" s="399"/>
    </row>
    <row r="449" spans="1:3" ht="24.75" customHeight="1" hidden="1">
      <c r="A449" s="5" t="s">
        <v>168</v>
      </c>
      <c r="B449" s="34" t="s">
        <v>169</v>
      </c>
      <c r="C449" s="399"/>
    </row>
    <row r="450" spans="1:3" ht="24.75" customHeight="1" hidden="1">
      <c r="A450" s="5" t="s">
        <v>170</v>
      </c>
      <c r="B450" s="34" t="s">
        <v>171</v>
      </c>
      <c r="C450" s="399"/>
    </row>
    <row r="451" spans="1:3" ht="24.75" customHeight="1" hidden="1">
      <c r="A451" s="5" t="s">
        <v>172</v>
      </c>
      <c r="B451" s="34" t="s">
        <v>155</v>
      </c>
      <c r="C451" s="399"/>
    </row>
    <row r="452" spans="1:3" ht="24.75" customHeight="1" hidden="1">
      <c r="A452" s="5" t="s">
        <v>173</v>
      </c>
      <c r="B452" s="34" t="s">
        <v>156</v>
      </c>
      <c r="C452" s="399"/>
    </row>
    <row r="453" spans="1:3" ht="24.75" customHeight="1" hidden="1">
      <c r="A453" s="5" t="s">
        <v>174</v>
      </c>
      <c r="B453" s="34" t="s">
        <v>175</v>
      </c>
      <c r="C453" s="399"/>
    </row>
    <row r="454" spans="1:3" ht="24.75" customHeight="1" hidden="1">
      <c r="A454" s="395" t="s">
        <v>73</v>
      </c>
      <c r="B454" s="396" t="s">
        <v>348</v>
      </c>
      <c r="C454" s="398">
        <f>SUM(C455:C457)</f>
        <v>13</v>
      </c>
    </row>
    <row r="455" spans="1:3" ht="24.75" customHeight="1" hidden="1">
      <c r="A455" s="5" t="s">
        <v>176</v>
      </c>
      <c r="B455" s="34" t="s">
        <v>167</v>
      </c>
      <c r="C455" s="399">
        <v>13</v>
      </c>
    </row>
    <row r="456" spans="1:3" ht="24.75" customHeight="1" hidden="1">
      <c r="A456" s="5" t="s">
        <v>177</v>
      </c>
      <c r="B456" s="34" t="s">
        <v>169</v>
      </c>
      <c r="C456" s="399"/>
    </row>
    <row r="457" spans="1:3" ht="15.75" hidden="1">
      <c r="A457" s="5" t="s">
        <v>178</v>
      </c>
      <c r="B457" s="34" t="s">
        <v>179</v>
      </c>
      <c r="C457" s="399"/>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604" t="s">
        <v>181</v>
      </c>
      <c r="B470" s="1605"/>
      <c r="C470" s="1605"/>
    </row>
    <row r="471" spans="1:3" ht="18.75" hidden="1">
      <c r="A471" s="1602" t="s">
        <v>69</v>
      </c>
      <c r="B471" s="1603"/>
      <c r="C471" s="387" t="s">
        <v>339</v>
      </c>
    </row>
    <row r="472" spans="1:3" ht="15.75" hidden="1">
      <c r="A472" s="1600" t="s">
        <v>6</v>
      </c>
      <c r="B472" s="1601"/>
      <c r="C472" s="397">
        <v>1</v>
      </c>
    </row>
    <row r="473" spans="1:3" ht="24.75" customHeight="1" hidden="1">
      <c r="A473" s="395" t="s">
        <v>51</v>
      </c>
      <c r="B473" s="396" t="s">
        <v>347</v>
      </c>
      <c r="C473" s="398">
        <f>SUM(C474:C479)</f>
        <v>0</v>
      </c>
    </row>
    <row r="474" spans="1:3" ht="24.75" customHeight="1" hidden="1">
      <c r="A474" s="5" t="s">
        <v>53</v>
      </c>
      <c r="B474" s="34" t="s">
        <v>152</v>
      </c>
      <c r="C474" s="399"/>
    </row>
    <row r="475" spans="1:3" ht="24.75" customHeight="1" hidden="1">
      <c r="A475" s="5" t="s">
        <v>54</v>
      </c>
      <c r="B475" s="34" t="s">
        <v>153</v>
      </c>
      <c r="C475" s="399"/>
    </row>
    <row r="476" spans="1:3" ht="24.75" customHeight="1" hidden="1">
      <c r="A476" s="5" t="s">
        <v>140</v>
      </c>
      <c r="B476" s="34" t="s">
        <v>154</v>
      </c>
      <c r="C476" s="399"/>
    </row>
    <row r="477" spans="1:3" ht="24.75" customHeight="1" hidden="1">
      <c r="A477" s="5" t="s">
        <v>142</v>
      </c>
      <c r="B477" s="34" t="s">
        <v>155</v>
      </c>
      <c r="C477" s="399"/>
    </row>
    <row r="478" spans="1:3" ht="24.75" customHeight="1" hidden="1">
      <c r="A478" s="5" t="s">
        <v>144</v>
      </c>
      <c r="B478" s="34" t="s">
        <v>156</v>
      </c>
      <c r="C478" s="399"/>
    </row>
    <row r="479" spans="1:3" ht="24.75" customHeight="1" hidden="1">
      <c r="A479" s="5" t="s">
        <v>146</v>
      </c>
      <c r="B479" s="34" t="s">
        <v>157</v>
      </c>
      <c r="C479" s="399"/>
    </row>
    <row r="480" spans="1:3" ht="24.75" customHeight="1" hidden="1">
      <c r="A480" s="395" t="s">
        <v>52</v>
      </c>
      <c r="B480" s="396" t="s">
        <v>345</v>
      </c>
      <c r="C480" s="398">
        <f>SUM(C481:C482)</f>
        <v>1</v>
      </c>
    </row>
    <row r="481" spans="1:3" ht="24.75" customHeight="1" hidden="1">
      <c r="A481" s="5" t="s">
        <v>55</v>
      </c>
      <c r="B481" s="34" t="s">
        <v>158</v>
      </c>
      <c r="C481" s="399">
        <v>1</v>
      </c>
    </row>
    <row r="482" spans="1:3" ht="24.75" customHeight="1" hidden="1">
      <c r="A482" s="5" t="s">
        <v>56</v>
      </c>
      <c r="B482" s="34" t="s">
        <v>159</v>
      </c>
      <c r="C482" s="399">
        <v>0</v>
      </c>
    </row>
    <row r="483" spans="1:3" ht="24.75" customHeight="1" hidden="1">
      <c r="A483" s="395" t="s">
        <v>57</v>
      </c>
      <c r="B483" s="396" t="s">
        <v>149</v>
      </c>
      <c r="C483" s="398">
        <f>SUM(C484:C486)</f>
        <v>0</v>
      </c>
    </row>
    <row r="484" spans="1:3" ht="24.75" customHeight="1" hidden="1">
      <c r="A484" s="5" t="s">
        <v>160</v>
      </c>
      <c r="B484" s="37" t="s">
        <v>161</v>
      </c>
      <c r="C484" s="399"/>
    </row>
    <row r="485" spans="1:3" ht="24.75" customHeight="1" hidden="1">
      <c r="A485" s="5" t="s">
        <v>162</v>
      </c>
      <c r="B485" s="34" t="s">
        <v>163</v>
      </c>
      <c r="C485" s="399"/>
    </row>
    <row r="486" spans="1:3" ht="24.75" customHeight="1" hidden="1">
      <c r="A486" s="5" t="s">
        <v>164</v>
      </c>
      <c r="B486" s="34" t="s">
        <v>165</v>
      </c>
      <c r="C486" s="399"/>
    </row>
    <row r="487" spans="1:3" ht="24.75" customHeight="1" hidden="1">
      <c r="A487" s="395" t="s">
        <v>72</v>
      </c>
      <c r="B487" s="396" t="s">
        <v>346</v>
      </c>
      <c r="C487" s="398">
        <f>SUM(C488:C493)</f>
        <v>0</v>
      </c>
    </row>
    <row r="488" spans="1:3" ht="24.75" customHeight="1" hidden="1">
      <c r="A488" s="5" t="s">
        <v>166</v>
      </c>
      <c r="B488" s="34" t="s">
        <v>167</v>
      </c>
      <c r="C488" s="399"/>
    </row>
    <row r="489" spans="1:3" ht="24.75" customHeight="1" hidden="1">
      <c r="A489" s="5" t="s">
        <v>168</v>
      </c>
      <c r="B489" s="34" t="s">
        <v>169</v>
      </c>
      <c r="C489" s="399"/>
    </row>
    <row r="490" spans="1:3" ht="24.75" customHeight="1" hidden="1">
      <c r="A490" s="5" t="s">
        <v>170</v>
      </c>
      <c r="B490" s="34" t="s">
        <v>171</v>
      </c>
      <c r="C490" s="399"/>
    </row>
    <row r="491" spans="1:3" ht="24.75" customHeight="1" hidden="1">
      <c r="A491" s="5" t="s">
        <v>172</v>
      </c>
      <c r="B491" s="34" t="s">
        <v>155</v>
      </c>
      <c r="C491" s="399"/>
    </row>
    <row r="492" spans="1:3" ht="24.75" customHeight="1" hidden="1">
      <c r="A492" s="5" t="s">
        <v>173</v>
      </c>
      <c r="B492" s="34" t="s">
        <v>156</v>
      </c>
      <c r="C492" s="399"/>
    </row>
    <row r="493" spans="1:3" ht="24.75" customHeight="1" hidden="1">
      <c r="A493" s="5" t="s">
        <v>174</v>
      </c>
      <c r="B493" s="34" t="s">
        <v>175</v>
      </c>
      <c r="C493" s="399"/>
    </row>
    <row r="494" spans="1:3" ht="24.75" customHeight="1" hidden="1">
      <c r="A494" s="395" t="s">
        <v>73</v>
      </c>
      <c r="B494" s="396" t="s">
        <v>348</v>
      </c>
      <c r="C494" s="398">
        <f>SUM(C495:C497)</f>
        <v>11</v>
      </c>
    </row>
    <row r="495" spans="1:3" ht="24.75" customHeight="1" hidden="1">
      <c r="A495" s="5" t="s">
        <v>176</v>
      </c>
      <c r="B495" s="34" t="s">
        <v>167</v>
      </c>
      <c r="C495" s="399">
        <v>11</v>
      </c>
    </row>
    <row r="496" spans="1:3" ht="24.75" customHeight="1" hidden="1">
      <c r="A496" s="5" t="s">
        <v>177</v>
      </c>
      <c r="B496" s="34" t="s">
        <v>169</v>
      </c>
      <c r="C496" s="399">
        <v>0</v>
      </c>
    </row>
    <row r="497" spans="1:3" ht="24.75" customHeight="1" hidden="1">
      <c r="A497" s="5" t="s">
        <v>178</v>
      </c>
      <c r="B497" s="34" t="s">
        <v>179</v>
      </c>
      <c r="C497" s="399">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40">
    <mergeCell ref="B30:C30"/>
    <mergeCell ref="A162:B162"/>
    <mergeCell ref="A238:B238"/>
    <mergeCell ref="A3:B3"/>
    <mergeCell ref="A1:C1"/>
    <mergeCell ref="A2:B2"/>
    <mergeCell ref="A121:B121"/>
    <mergeCell ref="A82:C82"/>
    <mergeCell ref="A44:C44"/>
    <mergeCell ref="A45:B45"/>
    <mergeCell ref="A46:B46"/>
    <mergeCell ref="A83:B83"/>
    <mergeCell ref="A120:C120"/>
    <mergeCell ref="A471:B471"/>
    <mergeCell ref="A352:C352"/>
    <mergeCell ref="A430:C430"/>
    <mergeCell ref="A122:B122"/>
    <mergeCell ref="A160:C160"/>
    <mergeCell ref="A84:B84"/>
    <mergeCell ref="A161:B161"/>
    <mergeCell ref="A278:B278"/>
    <mergeCell ref="A237:C237"/>
    <mergeCell ref="A199:C199"/>
    <mergeCell ref="A354:B354"/>
    <mergeCell ref="A395:B395"/>
    <mergeCell ref="A396:B396"/>
    <mergeCell ref="A394:C394"/>
    <mergeCell ref="A316:B316"/>
    <mergeCell ref="A201:B201"/>
    <mergeCell ref="A200:B200"/>
    <mergeCell ref="A472:B472"/>
    <mergeCell ref="A431:B431"/>
    <mergeCell ref="A432:B432"/>
    <mergeCell ref="A470:C470"/>
    <mergeCell ref="A317:B317"/>
    <mergeCell ref="A239:B239"/>
    <mergeCell ref="A279:B279"/>
    <mergeCell ref="A277:C277"/>
    <mergeCell ref="A315:C315"/>
    <mergeCell ref="A353:B353"/>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19"/>
  <sheetViews>
    <sheetView showZeros="0" zoomScaleSheetLayoutView="85" zoomScalePageLayoutView="0" workbookViewId="0" topLeftCell="A22">
      <selection activeCell="A225" sqref="A225"/>
    </sheetView>
  </sheetViews>
  <sheetFormatPr defaultColWidth="9.00390625" defaultRowHeight="15.75"/>
  <cols>
    <col min="1" max="1" width="4.875" style="435" customWidth="1"/>
    <col min="2" max="2" width="22.625" style="388" customWidth="1"/>
    <col min="3" max="3" width="11.00390625" style="388" customWidth="1"/>
    <col min="4" max="4" width="9.125" style="388" customWidth="1"/>
    <col min="5" max="5" width="10.25390625" style="388" customWidth="1"/>
    <col min="6" max="6" width="7.375" style="388" customWidth="1"/>
    <col min="7" max="7" width="9.50390625" style="388" customWidth="1"/>
    <col min="8" max="13" width="7.375" style="388" customWidth="1"/>
    <col min="14" max="14" width="6.25390625" style="388" customWidth="1"/>
    <col min="15" max="15" width="6.50390625" style="388" customWidth="1"/>
    <col min="16" max="16384" width="9.00390625" style="388" customWidth="1"/>
  </cols>
  <sheetData>
    <row r="1" spans="1:15" ht="21" customHeight="1">
      <c r="A1" s="1597" t="s">
        <v>29</v>
      </c>
      <c r="B1" s="1597"/>
      <c r="C1" s="415"/>
      <c r="D1" s="1598" t="s">
        <v>81</v>
      </c>
      <c r="E1" s="1598"/>
      <c r="F1" s="1598"/>
      <c r="G1" s="1598"/>
      <c r="H1" s="1598"/>
      <c r="I1" s="1598"/>
      <c r="J1" s="1598"/>
      <c r="K1" s="1598"/>
      <c r="L1" s="1589" t="s">
        <v>540</v>
      </c>
      <c r="M1" s="1589"/>
      <c r="N1" s="1589"/>
      <c r="O1" s="1589"/>
    </row>
    <row r="2" spans="1:15" ht="16.5" customHeight="1">
      <c r="A2" s="417" t="s">
        <v>342</v>
      </c>
      <c r="B2" s="417"/>
      <c r="C2" s="417"/>
      <c r="D2" s="1598" t="s">
        <v>182</v>
      </c>
      <c r="E2" s="1598"/>
      <c r="F2" s="1598"/>
      <c r="G2" s="1598"/>
      <c r="H2" s="1598"/>
      <c r="I2" s="1598"/>
      <c r="J2" s="1598"/>
      <c r="K2" s="1598"/>
      <c r="L2" s="1590" t="str">
        <f>'Thong tin'!B4</f>
        <v>Cục THADS tỉnh Tuyên Quang</v>
      </c>
      <c r="M2" s="1590"/>
      <c r="N2" s="1590"/>
      <c r="O2" s="1590"/>
    </row>
    <row r="3" spans="1:15" ht="16.5" customHeight="1">
      <c r="A3" s="417" t="s">
        <v>343</v>
      </c>
      <c r="B3" s="417"/>
      <c r="C3" s="417"/>
      <c r="D3" s="1592" t="str">
        <f>'Thong tin'!B3</f>
        <v>06 tháng / năm 2018</v>
      </c>
      <c r="E3" s="1592"/>
      <c r="F3" s="1592"/>
      <c r="G3" s="1592"/>
      <c r="H3" s="1592"/>
      <c r="I3" s="1592"/>
      <c r="J3" s="1592"/>
      <c r="K3" s="1592"/>
      <c r="L3" s="1589" t="s">
        <v>507</v>
      </c>
      <c r="M3" s="1589"/>
      <c r="N3" s="1589"/>
      <c r="O3" s="1589"/>
    </row>
    <row r="4" spans="1:15" ht="16.5" customHeight="1">
      <c r="A4" s="433" t="s">
        <v>118</v>
      </c>
      <c r="B4" s="433"/>
      <c r="C4" s="420"/>
      <c r="D4" s="421"/>
      <c r="E4" s="421"/>
      <c r="F4" s="420"/>
      <c r="G4" s="422"/>
      <c r="H4" s="422"/>
      <c r="I4" s="422"/>
      <c r="J4" s="420"/>
      <c r="K4" s="421"/>
      <c r="L4" s="1590" t="s">
        <v>410</v>
      </c>
      <c r="M4" s="1590"/>
      <c r="N4" s="1590"/>
      <c r="O4" s="1590"/>
    </row>
    <row r="5" spans="1:15" ht="16.5" customHeight="1">
      <c r="A5" s="423"/>
      <c r="B5" s="420"/>
      <c r="C5" s="420"/>
      <c r="D5" s="420"/>
      <c r="E5" s="420"/>
      <c r="F5" s="424"/>
      <c r="G5" s="425"/>
      <c r="H5" s="425"/>
      <c r="I5" s="425"/>
      <c r="J5" s="424"/>
      <c r="K5" s="426"/>
      <c r="L5" s="437"/>
      <c r="M5" s="437" t="s">
        <v>8</v>
      </c>
      <c r="N5" s="416"/>
      <c r="O5" s="416"/>
    </row>
    <row r="6" spans="1:15" ht="18.75" customHeight="1">
      <c r="A6" s="1596" t="s">
        <v>68</v>
      </c>
      <c r="B6" s="1596"/>
      <c r="C6" s="1596" t="s">
        <v>37</v>
      </c>
      <c r="D6" s="1596" t="s">
        <v>335</v>
      </c>
      <c r="E6" s="1596"/>
      <c r="F6" s="1596"/>
      <c r="G6" s="1596"/>
      <c r="H6" s="1596"/>
      <c r="I6" s="1596"/>
      <c r="J6" s="1596"/>
      <c r="K6" s="1596"/>
      <c r="L6" s="1596"/>
      <c r="M6" s="1596"/>
      <c r="N6" s="1596"/>
      <c r="O6" s="1596"/>
    </row>
    <row r="7" spans="1:15" ht="20.25" customHeight="1">
      <c r="A7" s="1596"/>
      <c r="B7" s="1596"/>
      <c r="C7" s="1596"/>
      <c r="D7" s="1613" t="s">
        <v>119</v>
      </c>
      <c r="E7" s="1611" t="s">
        <v>120</v>
      </c>
      <c r="F7" s="1611"/>
      <c r="G7" s="1611"/>
      <c r="H7" s="1611" t="s">
        <v>121</v>
      </c>
      <c r="I7" s="1611" t="s">
        <v>122</v>
      </c>
      <c r="J7" s="1611" t="s">
        <v>123</v>
      </c>
      <c r="K7" s="1611" t="s">
        <v>124</v>
      </c>
      <c r="L7" s="1611" t="s">
        <v>125</v>
      </c>
      <c r="M7" s="1611" t="s">
        <v>126</v>
      </c>
      <c r="N7" s="1611" t="s">
        <v>183</v>
      </c>
      <c r="O7" s="1611" t="s">
        <v>127</v>
      </c>
    </row>
    <row r="8" spans="1:15" ht="19.5" customHeight="1">
      <c r="A8" s="1596"/>
      <c r="B8" s="1596"/>
      <c r="C8" s="1596"/>
      <c r="D8" s="1613"/>
      <c r="E8" s="1611" t="s">
        <v>36</v>
      </c>
      <c r="F8" s="1611" t="s">
        <v>7</v>
      </c>
      <c r="G8" s="1611"/>
      <c r="H8" s="1611"/>
      <c r="I8" s="1611"/>
      <c r="J8" s="1611"/>
      <c r="K8" s="1611"/>
      <c r="L8" s="1611"/>
      <c r="M8" s="1611"/>
      <c r="N8" s="1611"/>
      <c r="O8" s="1611"/>
    </row>
    <row r="9" spans="1:15" ht="39.75" customHeight="1">
      <c r="A9" s="1596"/>
      <c r="B9" s="1596"/>
      <c r="C9" s="1596"/>
      <c r="D9" s="1613"/>
      <c r="E9" s="1611"/>
      <c r="F9" s="560" t="s">
        <v>128</v>
      </c>
      <c r="G9" s="560" t="s">
        <v>129</v>
      </c>
      <c r="H9" s="1611"/>
      <c r="I9" s="1611"/>
      <c r="J9" s="1611"/>
      <c r="K9" s="1611"/>
      <c r="L9" s="1611"/>
      <c r="M9" s="1611"/>
      <c r="N9" s="1611"/>
      <c r="O9" s="1611"/>
    </row>
    <row r="10" spans="1:15" s="393" customFormat="1" ht="17.25" customHeight="1">
      <c r="A10" s="1612" t="s">
        <v>39</v>
      </c>
      <c r="B10" s="1612"/>
      <c r="C10" s="517">
        <v>1</v>
      </c>
      <c r="D10" s="517">
        <v>2</v>
      </c>
      <c r="E10" s="517">
        <v>3</v>
      </c>
      <c r="F10" s="517">
        <v>4</v>
      </c>
      <c r="G10" s="517">
        <v>5</v>
      </c>
      <c r="H10" s="517">
        <v>6</v>
      </c>
      <c r="I10" s="517">
        <v>7</v>
      </c>
      <c r="J10" s="517">
        <v>8</v>
      </c>
      <c r="K10" s="517">
        <v>9</v>
      </c>
      <c r="L10" s="517">
        <v>10</v>
      </c>
      <c r="M10" s="517">
        <v>11</v>
      </c>
      <c r="N10" s="517">
        <v>12</v>
      </c>
      <c r="O10" s="517">
        <v>13</v>
      </c>
    </row>
    <row r="11" spans="1:15" ht="22.5" customHeight="1">
      <c r="A11" s="508" t="s">
        <v>0</v>
      </c>
      <c r="B11" s="438" t="s">
        <v>130</v>
      </c>
      <c r="C11" s="1140">
        <f aca="true" t="shared" si="0" ref="C11:C17">SUM(D11,E11,H11:O11)</f>
        <v>900</v>
      </c>
      <c r="D11" s="1141">
        <f>SUM(D12:D13)</f>
        <v>479</v>
      </c>
      <c r="E11" s="1141">
        <f>SUM(E12:E13)</f>
        <v>221</v>
      </c>
      <c r="F11" s="1141">
        <f>SUM(F12:F13)</f>
        <v>0</v>
      </c>
      <c r="G11" s="1141">
        <f aca="true" t="shared" si="1" ref="G11:O11">SUM(G12:G13)</f>
        <v>221</v>
      </c>
      <c r="H11" s="1141">
        <f t="shared" si="1"/>
        <v>0</v>
      </c>
      <c r="I11" s="1141">
        <f t="shared" si="1"/>
        <v>184</v>
      </c>
      <c r="J11" s="1141">
        <f t="shared" si="1"/>
        <v>14</v>
      </c>
      <c r="K11" s="1141">
        <f>SUM(K12:K13)</f>
        <v>2</v>
      </c>
      <c r="L11" s="799">
        <f t="shared" si="1"/>
        <v>0</v>
      </c>
      <c r="M11" s="799">
        <f t="shared" si="1"/>
        <v>0</v>
      </c>
      <c r="N11" s="799">
        <f t="shared" si="1"/>
        <v>0</v>
      </c>
      <c r="O11" s="799">
        <f t="shared" si="1"/>
        <v>0</v>
      </c>
    </row>
    <row r="12" spans="1:15" s="401" customFormat="1" ht="22.5" customHeight="1">
      <c r="A12" s="507">
        <v>1</v>
      </c>
      <c r="B12" s="429" t="s">
        <v>131</v>
      </c>
      <c r="C12" s="1139">
        <f>SUM(D12,E12,H12:O12)</f>
        <v>615</v>
      </c>
      <c r="D12" s="821">
        <f>D42+D66+D89+D112+D135+D158+D181+D205</f>
        <v>359</v>
      </c>
      <c r="E12" s="987">
        <f>F12+G12</f>
        <v>162</v>
      </c>
      <c r="F12" s="821">
        <f>F42+F66+F89+F112+F135+F158+F181+F205</f>
        <v>0</v>
      </c>
      <c r="G12" s="821">
        <f aca="true" t="shared" si="2" ref="G12:O12">G42+G66+G89+G112+G135+G158+G181+G205</f>
        <v>162</v>
      </c>
      <c r="H12" s="821">
        <f t="shared" si="2"/>
        <v>0</v>
      </c>
      <c r="I12" s="821">
        <f t="shared" si="2"/>
        <v>81</v>
      </c>
      <c r="J12" s="821">
        <f t="shared" si="2"/>
        <v>11</v>
      </c>
      <c r="K12" s="821">
        <f t="shared" si="2"/>
        <v>2</v>
      </c>
      <c r="L12" s="821">
        <f t="shared" si="2"/>
        <v>0</v>
      </c>
      <c r="M12" s="821">
        <f t="shared" si="2"/>
        <v>0</v>
      </c>
      <c r="N12" s="821">
        <f t="shared" si="2"/>
        <v>0</v>
      </c>
      <c r="O12" s="821">
        <f t="shared" si="2"/>
        <v>0</v>
      </c>
    </row>
    <row r="13" spans="1:15" s="401" customFormat="1" ht="22.5" customHeight="1">
      <c r="A13" s="507">
        <v>2</v>
      </c>
      <c r="B13" s="429" t="s">
        <v>132</v>
      </c>
      <c r="C13" s="1139">
        <f>SUM(D13,E13,H13:O13)</f>
        <v>285</v>
      </c>
      <c r="D13" s="821">
        <f>D43+D67+D90+D113+D136+D159+D182+D206</f>
        <v>120</v>
      </c>
      <c r="E13" s="987">
        <f>F13+G13</f>
        <v>59</v>
      </c>
      <c r="F13" s="821">
        <f aca="true" t="shared" si="3" ref="F13:O14">F43+F67+F90+F113+F136+F159+F182+F206</f>
        <v>0</v>
      </c>
      <c r="G13" s="821">
        <f t="shared" si="3"/>
        <v>59</v>
      </c>
      <c r="H13" s="821">
        <f t="shared" si="3"/>
        <v>0</v>
      </c>
      <c r="I13" s="821">
        <f t="shared" si="3"/>
        <v>103</v>
      </c>
      <c r="J13" s="821">
        <f t="shared" si="3"/>
        <v>3</v>
      </c>
      <c r="K13" s="821">
        <f t="shared" si="3"/>
        <v>0</v>
      </c>
      <c r="L13" s="821">
        <f t="shared" si="3"/>
        <v>0</v>
      </c>
      <c r="M13" s="821">
        <f t="shared" si="3"/>
        <v>0</v>
      </c>
      <c r="N13" s="821">
        <f t="shared" si="3"/>
        <v>0</v>
      </c>
      <c r="O13" s="821">
        <f t="shared" si="3"/>
        <v>0</v>
      </c>
    </row>
    <row r="14" spans="1:15" ht="22.5" customHeight="1">
      <c r="A14" s="508" t="s">
        <v>1</v>
      </c>
      <c r="B14" s="394" t="s">
        <v>133</v>
      </c>
      <c r="C14" s="1139">
        <f t="shared" si="0"/>
        <v>7</v>
      </c>
      <c r="D14" s="821">
        <f>D44+D68+D91+D114+D137+D160+D183+D207</f>
        <v>0</v>
      </c>
      <c r="E14" s="987">
        <f>F14+G14</f>
        <v>2</v>
      </c>
      <c r="F14" s="821">
        <f t="shared" si="3"/>
        <v>0</v>
      </c>
      <c r="G14" s="821">
        <f t="shared" si="3"/>
        <v>2</v>
      </c>
      <c r="H14" s="821">
        <f t="shared" si="3"/>
        <v>0</v>
      </c>
      <c r="I14" s="821">
        <f t="shared" si="3"/>
        <v>5</v>
      </c>
      <c r="J14" s="821">
        <f t="shared" si="3"/>
        <v>0</v>
      </c>
      <c r="K14" s="821">
        <f t="shared" si="3"/>
        <v>0</v>
      </c>
      <c r="L14" s="821">
        <f t="shared" si="3"/>
        <v>0</v>
      </c>
      <c r="M14" s="821">
        <f t="shared" si="3"/>
        <v>0</v>
      </c>
      <c r="N14" s="821">
        <f t="shared" si="3"/>
        <v>0</v>
      </c>
      <c r="O14" s="821">
        <f t="shared" si="3"/>
        <v>0</v>
      </c>
    </row>
    <row r="15" spans="1:15" ht="22.5" customHeight="1">
      <c r="A15" s="508" t="s">
        <v>9</v>
      </c>
      <c r="B15" s="394" t="s">
        <v>134</v>
      </c>
      <c r="C15" s="822"/>
      <c r="D15" s="821"/>
      <c r="E15" s="823">
        <f>F15+G15</f>
        <v>0</v>
      </c>
      <c r="F15" s="821">
        <f aca="true" t="shared" si="4" ref="F15:O15">F45+F69+F92+F115+F138+F161+F184</f>
        <v>0</v>
      </c>
      <c r="G15" s="988"/>
      <c r="H15" s="821">
        <f t="shared" si="4"/>
        <v>0</v>
      </c>
      <c r="I15" s="821">
        <f t="shared" si="4"/>
        <v>0</v>
      </c>
      <c r="J15" s="821">
        <f t="shared" si="4"/>
        <v>0</v>
      </c>
      <c r="K15" s="821">
        <f t="shared" si="4"/>
        <v>0</v>
      </c>
      <c r="L15" s="821">
        <f t="shared" si="4"/>
        <v>0</v>
      </c>
      <c r="M15" s="821">
        <f t="shared" si="4"/>
        <v>0</v>
      </c>
      <c r="N15" s="821">
        <f t="shared" si="4"/>
        <v>0</v>
      </c>
      <c r="O15" s="821">
        <f t="shared" si="4"/>
        <v>0</v>
      </c>
    </row>
    <row r="16" spans="1:15" ht="22.5" customHeight="1">
      <c r="A16" s="508" t="s">
        <v>135</v>
      </c>
      <c r="B16" s="394" t="s">
        <v>136</v>
      </c>
      <c r="C16" s="1142">
        <f>SUM(D16,E16,H16:O16)</f>
        <v>893</v>
      </c>
      <c r="D16" s="1142">
        <f>D11-SUM(D14,D15)</f>
        <v>479</v>
      </c>
      <c r="E16" s="1141">
        <f>SUM(F16:G16)</f>
        <v>219</v>
      </c>
      <c r="F16" s="1142">
        <f>F11-SUM(F14,F15)</f>
        <v>0</v>
      </c>
      <c r="G16" s="1142">
        <f>G11-SUM(G14)</f>
        <v>219</v>
      </c>
      <c r="H16" s="1142">
        <f aca="true" t="shared" si="5" ref="H16:O16">H11-SUM(H14,H15)</f>
        <v>0</v>
      </c>
      <c r="I16" s="1142">
        <f t="shared" si="5"/>
        <v>179</v>
      </c>
      <c r="J16" s="1142">
        <f t="shared" si="5"/>
        <v>14</v>
      </c>
      <c r="K16" s="1142">
        <f t="shared" si="5"/>
        <v>2</v>
      </c>
      <c r="L16" s="824">
        <f t="shared" si="5"/>
        <v>0</v>
      </c>
      <c r="M16" s="824">
        <f t="shared" si="5"/>
        <v>0</v>
      </c>
      <c r="N16" s="824">
        <f t="shared" si="5"/>
        <v>0</v>
      </c>
      <c r="O16" s="824">
        <f t="shared" si="5"/>
        <v>0</v>
      </c>
    </row>
    <row r="17" spans="1:15" ht="22.5" customHeight="1">
      <c r="A17" s="508" t="s">
        <v>51</v>
      </c>
      <c r="B17" s="394" t="s">
        <v>137</v>
      </c>
      <c r="C17" s="1142">
        <f t="shared" si="0"/>
        <v>426</v>
      </c>
      <c r="D17" s="1143">
        <f aca="true" t="shared" si="6" ref="D17:N17">SUM(D18:D24)</f>
        <v>255</v>
      </c>
      <c r="E17" s="1141">
        <f aca="true" t="shared" si="7" ref="E17:E24">SUM(F17:G17)</f>
        <v>45</v>
      </c>
      <c r="F17" s="1143">
        <f t="shared" si="6"/>
        <v>0</v>
      </c>
      <c r="G17" s="1143">
        <f t="shared" si="6"/>
        <v>45</v>
      </c>
      <c r="H17" s="1143">
        <f t="shared" si="6"/>
        <v>0</v>
      </c>
      <c r="I17" s="1143">
        <f t="shared" si="6"/>
        <v>119</v>
      </c>
      <c r="J17" s="1143">
        <f t="shared" si="6"/>
        <v>6</v>
      </c>
      <c r="K17" s="1143">
        <f t="shared" si="6"/>
        <v>1</v>
      </c>
      <c r="L17" s="826">
        <f t="shared" si="6"/>
        <v>0</v>
      </c>
      <c r="M17" s="826">
        <f t="shared" si="6"/>
        <v>0</v>
      </c>
      <c r="N17" s="826">
        <f t="shared" si="6"/>
        <v>0</v>
      </c>
      <c r="O17" s="826">
        <f>SUM(O18:O24)</f>
        <v>0</v>
      </c>
    </row>
    <row r="18" spans="1:15" ht="19.5" customHeight="1">
      <c r="A18" s="507" t="s">
        <v>53</v>
      </c>
      <c r="B18" s="429" t="s">
        <v>138</v>
      </c>
      <c r="C18" s="1139">
        <f>D18+E18+H18+I18+J18+K18+L18+M18+N18+O18</f>
        <v>116</v>
      </c>
      <c r="D18" s="821">
        <f>D48+D72+D95+D118+D141+D164+D187+D211</f>
        <v>52</v>
      </c>
      <c r="E18" s="1144">
        <f>F18+G18</f>
        <v>25</v>
      </c>
      <c r="F18" s="821">
        <f>F48+F72+F95+F118+F141+F164+F187+F211</f>
        <v>0</v>
      </c>
      <c r="G18" s="821">
        <f aca="true" t="shared" si="8" ref="G18:O18">G48+G72+G95+G118+G141+G164+G187+G211</f>
        <v>25</v>
      </c>
      <c r="H18" s="821">
        <f t="shared" si="8"/>
        <v>0</v>
      </c>
      <c r="I18" s="821">
        <f t="shared" si="8"/>
        <v>38</v>
      </c>
      <c r="J18" s="821">
        <f t="shared" si="8"/>
        <v>1</v>
      </c>
      <c r="K18" s="821">
        <f t="shared" si="8"/>
        <v>0</v>
      </c>
      <c r="L18" s="821">
        <f t="shared" si="8"/>
        <v>0</v>
      </c>
      <c r="M18" s="821">
        <f t="shared" si="8"/>
        <v>0</v>
      </c>
      <c r="N18" s="821">
        <f t="shared" si="8"/>
        <v>0</v>
      </c>
      <c r="O18" s="821">
        <f t="shared" si="8"/>
        <v>0</v>
      </c>
    </row>
    <row r="19" spans="1:15" ht="19.5" customHeight="1">
      <c r="A19" s="507" t="s">
        <v>54</v>
      </c>
      <c r="B19" s="429" t="s">
        <v>139</v>
      </c>
      <c r="C19" s="1139">
        <f aca="true" t="shared" si="9" ref="C19:C24">D19+E19+H19+I19+J19+K19+L19+M19+N19+O19</f>
        <v>10</v>
      </c>
      <c r="D19" s="821">
        <f aca="true" t="shared" si="10" ref="D19:D24">D49+D73+D96+D119+D142+D165+D188+D212</f>
        <v>5</v>
      </c>
      <c r="E19" s="1144">
        <f t="shared" si="7"/>
        <v>0</v>
      </c>
      <c r="F19" s="821">
        <f aca="true" t="shared" si="11" ref="F19:O24">F49+F73+F96+F119+F142+F165+F188+F212</f>
        <v>0</v>
      </c>
      <c r="G19" s="821">
        <f t="shared" si="11"/>
        <v>0</v>
      </c>
      <c r="H19" s="821">
        <f t="shared" si="11"/>
        <v>0</v>
      </c>
      <c r="I19" s="821">
        <f t="shared" si="11"/>
        <v>2</v>
      </c>
      <c r="J19" s="821">
        <f t="shared" si="11"/>
        <v>3</v>
      </c>
      <c r="K19" s="821">
        <f t="shared" si="11"/>
        <v>0</v>
      </c>
      <c r="L19" s="821">
        <f t="shared" si="11"/>
        <v>0</v>
      </c>
      <c r="M19" s="821">
        <f t="shared" si="11"/>
        <v>0</v>
      </c>
      <c r="N19" s="821">
        <f t="shared" si="11"/>
        <v>0</v>
      </c>
      <c r="O19" s="821">
        <f t="shared" si="11"/>
        <v>0</v>
      </c>
    </row>
    <row r="20" spans="1:15" ht="19.5" customHeight="1">
      <c r="A20" s="507" t="s">
        <v>140</v>
      </c>
      <c r="B20" s="429" t="s">
        <v>141</v>
      </c>
      <c r="C20" s="1139">
        <f>D20+E20+H20+I20+J20+K20+L20+M20+N20+O20</f>
        <v>270</v>
      </c>
      <c r="D20" s="821">
        <f t="shared" si="10"/>
        <v>170</v>
      </c>
      <c r="E20" s="1144">
        <f t="shared" si="7"/>
        <v>19</v>
      </c>
      <c r="F20" s="821">
        <f t="shared" si="11"/>
        <v>0</v>
      </c>
      <c r="G20" s="821">
        <f t="shared" si="11"/>
        <v>19</v>
      </c>
      <c r="H20" s="821">
        <f t="shared" si="11"/>
        <v>0</v>
      </c>
      <c r="I20" s="821">
        <f t="shared" si="11"/>
        <v>78</v>
      </c>
      <c r="J20" s="821">
        <f t="shared" si="11"/>
        <v>2</v>
      </c>
      <c r="K20" s="821">
        <f t="shared" si="11"/>
        <v>1</v>
      </c>
      <c r="L20" s="821">
        <f t="shared" si="11"/>
        <v>0</v>
      </c>
      <c r="M20" s="821">
        <f t="shared" si="11"/>
        <v>0</v>
      </c>
      <c r="N20" s="821">
        <f t="shared" si="11"/>
        <v>0</v>
      </c>
      <c r="O20" s="821">
        <f t="shared" si="11"/>
        <v>0</v>
      </c>
    </row>
    <row r="21" spans="1:15" ht="19.5" customHeight="1">
      <c r="A21" s="507" t="s">
        <v>142</v>
      </c>
      <c r="B21" s="429" t="s">
        <v>143</v>
      </c>
      <c r="C21" s="1139">
        <f t="shared" si="9"/>
        <v>25</v>
      </c>
      <c r="D21" s="821">
        <f t="shared" si="10"/>
        <v>24</v>
      </c>
      <c r="E21" s="1145">
        <f t="shared" si="7"/>
        <v>0</v>
      </c>
      <c r="F21" s="821">
        <f t="shared" si="11"/>
        <v>0</v>
      </c>
      <c r="G21" s="821">
        <f t="shared" si="11"/>
        <v>0</v>
      </c>
      <c r="H21" s="821">
        <f t="shared" si="11"/>
        <v>0</v>
      </c>
      <c r="I21" s="821">
        <f t="shared" si="11"/>
        <v>1</v>
      </c>
      <c r="J21" s="821">
        <f t="shared" si="11"/>
        <v>0</v>
      </c>
      <c r="K21" s="821">
        <f t="shared" si="11"/>
        <v>0</v>
      </c>
      <c r="L21" s="821">
        <f t="shared" si="11"/>
        <v>0</v>
      </c>
      <c r="M21" s="821">
        <f t="shared" si="11"/>
        <v>0</v>
      </c>
      <c r="N21" s="821">
        <f t="shared" si="11"/>
        <v>0</v>
      </c>
      <c r="O21" s="821">
        <f t="shared" si="11"/>
        <v>0</v>
      </c>
    </row>
    <row r="22" spans="1:15" ht="19.5" customHeight="1">
      <c r="A22" s="507" t="s">
        <v>144</v>
      </c>
      <c r="B22" s="429" t="s">
        <v>145</v>
      </c>
      <c r="C22" s="1139">
        <f t="shared" si="9"/>
        <v>0</v>
      </c>
      <c r="D22" s="821">
        <f t="shared" si="10"/>
        <v>0</v>
      </c>
      <c r="E22" s="1145">
        <f t="shared" si="7"/>
        <v>0</v>
      </c>
      <c r="F22" s="821">
        <f t="shared" si="11"/>
        <v>0</v>
      </c>
      <c r="G22" s="821">
        <f t="shared" si="11"/>
        <v>0</v>
      </c>
      <c r="H22" s="821">
        <f t="shared" si="11"/>
        <v>0</v>
      </c>
      <c r="I22" s="821">
        <f t="shared" si="11"/>
        <v>0</v>
      </c>
      <c r="J22" s="821">
        <f t="shared" si="11"/>
        <v>0</v>
      </c>
      <c r="K22" s="821">
        <f t="shared" si="11"/>
        <v>0</v>
      </c>
      <c r="L22" s="821">
        <f t="shared" si="11"/>
        <v>0</v>
      </c>
      <c r="M22" s="821">
        <f t="shared" si="11"/>
        <v>0</v>
      </c>
      <c r="N22" s="821">
        <f t="shared" si="11"/>
        <v>0</v>
      </c>
      <c r="O22" s="821">
        <f t="shared" si="11"/>
        <v>0</v>
      </c>
    </row>
    <row r="23" spans="1:15" ht="25.5">
      <c r="A23" s="507" t="s">
        <v>146</v>
      </c>
      <c r="B23" s="431" t="s">
        <v>147</v>
      </c>
      <c r="C23" s="1139">
        <f t="shared" si="9"/>
        <v>0</v>
      </c>
      <c r="D23" s="821">
        <f t="shared" si="10"/>
        <v>0</v>
      </c>
      <c r="E23" s="1145">
        <f>SUM(F23:G23)</f>
        <v>0</v>
      </c>
      <c r="F23" s="821">
        <f t="shared" si="11"/>
        <v>0</v>
      </c>
      <c r="G23" s="821">
        <f t="shared" si="11"/>
        <v>0</v>
      </c>
      <c r="H23" s="821">
        <f t="shared" si="11"/>
        <v>0</v>
      </c>
      <c r="I23" s="821">
        <f t="shared" si="11"/>
        <v>0</v>
      </c>
      <c r="J23" s="821">
        <f t="shared" si="11"/>
        <v>0</v>
      </c>
      <c r="K23" s="821">
        <f t="shared" si="11"/>
        <v>0</v>
      </c>
      <c r="L23" s="821">
        <f t="shared" si="11"/>
        <v>0</v>
      </c>
      <c r="M23" s="821">
        <f t="shared" si="11"/>
        <v>0</v>
      </c>
      <c r="N23" s="821">
        <f t="shared" si="11"/>
        <v>0</v>
      </c>
      <c r="O23" s="821">
        <f t="shared" si="11"/>
        <v>0</v>
      </c>
    </row>
    <row r="24" spans="1:15" ht="19.5" customHeight="1">
      <c r="A24" s="507" t="s">
        <v>148</v>
      </c>
      <c r="B24" s="429" t="s">
        <v>149</v>
      </c>
      <c r="C24" s="1139">
        <f t="shared" si="9"/>
        <v>5</v>
      </c>
      <c r="D24" s="821">
        <f t="shared" si="10"/>
        <v>4</v>
      </c>
      <c r="E24" s="1145">
        <f t="shared" si="7"/>
        <v>1</v>
      </c>
      <c r="F24" s="821">
        <f t="shared" si="11"/>
        <v>0</v>
      </c>
      <c r="G24" s="821">
        <f t="shared" si="11"/>
        <v>1</v>
      </c>
      <c r="H24" s="821">
        <f t="shared" si="11"/>
        <v>0</v>
      </c>
      <c r="I24" s="821">
        <f t="shared" si="11"/>
        <v>0</v>
      </c>
      <c r="J24" s="821">
        <f t="shared" si="11"/>
        <v>0</v>
      </c>
      <c r="K24" s="821">
        <f t="shared" si="11"/>
        <v>0</v>
      </c>
      <c r="L24" s="821">
        <f t="shared" si="11"/>
        <v>0</v>
      </c>
      <c r="M24" s="821">
        <f t="shared" si="11"/>
        <v>0</v>
      </c>
      <c r="N24" s="821">
        <f t="shared" si="11"/>
        <v>0</v>
      </c>
      <c r="O24" s="821">
        <f t="shared" si="11"/>
        <v>0</v>
      </c>
    </row>
    <row r="25" spans="1:15" ht="22.5" customHeight="1">
      <c r="A25" s="508" t="s">
        <v>52</v>
      </c>
      <c r="B25" s="394" t="s">
        <v>150</v>
      </c>
      <c r="C25" s="1140">
        <f>C16-C17</f>
        <v>467</v>
      </c>
      <c r="D25" s="1140">
        <f>D16-D17</f>
        <v>224</v>
      </c>
      <c r="E25" s="1140">
        <f aca="true" t="shared" si="12" ref="E25:O25">E16-E17</f>
        <v>174</v>
      </c>
      <c r="F25" s="1140">
        <f t="shared" si="12"/>
        <v>0</v>
      </c>
      <c r="G25" s="1140">
        <f t="shared" si="12"/>
        <v>174</v>
      </c>
      <c r="H25" s="1140">
        <f t="shared" si="12"/>
        <v>0</v>
      </c>
      <c r="I25" s="1140">
        <f t="shared" si="12"/>
        <v>60</v>
      </c>
      <c r="J25" s="1140">
        <f t="shared" si="12"/>
        <v>8</v>
      </c>
      <c r="K25" s="1140">
        <f t="shared" si="12"/>
        <v>1</v>
      </c>
      <c r="L25" s="791">
        <f t="shared" si="12"/>
        <v>0</v>
      </c>
      <c r="M25" s="791">
        <f t="shared" si="12"/>
        <v>0</v>
      </c>
      <c r="N25" s="791">
        <f t="shared" si="12"/>
        <v>0</v>
      </c>
      <c r="O25" s="791">
        <f t="shared" si="12"/>
        <v>0</v>
      </c>
    </row>
    <row r="26" spans="1:15" ht="32.25" customHeight="1">
      <c r="A26" s="509" t="s">
        <v>538</v>
      </c>
      <c r="B26" s="432" t="s">
        <v>151</v>
      </c>
      <c r="C26" s="991">
        <f>(C18+C19)/C17</f>
        <v>0.29577464788732394</v>
      </c>
      <c r="D26" s="991">
        <f aca="true" t="shared" si="13" ref="D26:O26">(D18+D19)/D17</f>
        <v>0.2235294117647059</v>
      </c>
      <c r="E26" s="991">
        <f t="shared" si="13"/>
        <v>0.5555555555555556</v>
      </c>
      <c r="F26" s="991" t="e">
        <f t="shared" si="13"/>
        <v>#DIV/0!</v>
      </c>
      <c r="G26" s="991">
        <f t="shared" si="13"/>
        <v>0.5555555555555556</v>
      </c>
      <c r="H26" s="991" t="e">
        <f t="shared" si="13"/>
        <v>#DIV/0!</v>
      </c>
      <c r="I26" s="991">
        <f t="shared" si="13"/>
        <v>0.33613445378151263</v>
      </c>
      <c r="J26" s="991">
        <f t="shared" si="13"/>
        <v>0.6666666666666666</v>
      </c>
      <c r="K26" s="991">
        <f t="shared" si="13"/>
        <v>0</v>
      </c>
      <c r="L26" s="991" t="e">
        <f t="shared" si="13"/>
        <v>#DIV/0!</v>
      </c>
      <c r="M26" s="991" t="e">
        <f t="shared" si="13"/>
        <v>#DIV/0!</v>
      </c>
      <c r="N26" s="991" t="e">
        <f t="shared" si="13"/>
        <v>#DIV/0!</v>
      </c>
      <c r="O26" s="991" t="e">
        <f t="shared" si="13"/>
        <v>#DIV/0!</v>
      </c>
    </row>
    <row r="27" ht="22.5" customHeight="1"/>
    <row r="28" ht="0.75" customHeight="1" hidden="1"/>
    <row r="29" ht="0.75" customHeight="1" hidden="1"/>
    <row r="30" ht="0.75" customHeight="1" hidden="1"/>
    <row r="31" ht="26.25" customHeight="1" hidden="1"/>
    <row r="32" ht="15" hidden="1"/>
    <row r="33" ht="15" hidden="1"/>
    <row r="34" ht="15" hidden="1"/>
    <row r="35" ht="15" hidden="1">
      <c r="B35" s="861" t="s">
        <v>730</v>
      </c>
    </row>
    <row r="36" spans="1:15" ht="15" customHeight="1" hidden="1">
      <c r="A36" s="1596" t="s">
        <v>68</v>
      </c>
      <c r="B36" s="1596"/>
      <c r="C36" s="1596" t="s">
        <v>37</v>
      </c>
      <c r="D36" s="1596" t="s">
        <v>335</v>
      </c>
      <c r="E36" s="1596"/>
      <c r="F36" s="1596"/>
      <c r="G36" s="1596"/>
      <c r="H36" s="1596"/>
      <c r="I36" s="1596"/>
      <c r="J36" s="1596"/>
      <c r="K36" s="1596"/>
      <c r="L36" s="1596"/>
      <c r="M36" s="1596"/>
      <c r="N36" s="1596"/>
      <c r="O36" s="1596"/>
    </row>
    <row r="37" spans="1:15" ht="15" customHeight="1" hidden="1">
      <c r="A37" s="1596"/>
      <c r="B37" s="1596"/>
      <c r="C37" s="1596"/>
      <c r="D37" s="1613" t="s">
        <v>119</v>
      </c>
      <c r="E37" s="1611" t="s">
        <v>120</v>
      </c>
      <c r="F37" s="1611"/>
      <c r="G37" s="1611"/>
      <c r="H37" s="1611" t="s">
        <v>121</v>
      </c>
      <c r="I37" s="1611" t="s">
        <v>122</v>
      </c>
      <c r="J37" s="1611" t="s">
        <v>123</v>
      </c>
      <c r="K37" s="1611" t="s">
        <v>124</v>
      </c>
      <c r="L37" s="1611" t="s">
        <v>125</v>
      </c>
      <c r="M37" s="1611" t="s">
        <v>126</v>
      </c>
      <c r="N37" s="1611" t="s">
        <v>183</v>
      </c>
      <c r="O37" s="1611" t="s">
        <v>127</v>
      </c>
    </row>
    <row r="38" spans="1:15" ht="15" hidden="1">
      <c r="A38" s="1596"/>
      <c r="B38" s="1596"/>
      <c r="C38" s="1596"/>
      <c r="D38" s="1613"/>
      <c r="E38" s="1611" t="s">
        <v>36</v>
      </c>
      <c r="F38" s="1611" t="s">
        <v>7</v>
      </c>
      <c r="G38" s="1611"/>
      <c r="H38" s="1611"/>
      <c r="I38" s="1611"/>
      <c r="J38" s="1611"/>
      <c r="K38" s="1611"/>
      <c r="L38" s="1611"/>
      <c r="M38" s="1611"/>
      <c r="N38" s="1611"/>
      <c r="O38" s="1611"/>
    </row>
    <row r="39" spans="1:15" ht="30" hidden="1">
      <c r="A39" s="1596"/>
      <c r="B39" s="1596"/>
      <c r="C39" s="1596"/>
      <c r="D39" s="1613"/>
      <c r="E39" s="1611"/>
      <c r="F39" s="560" t="s">
        <v>128</v>
      </c>
      <c r="G39" s="560" t="s">
        <v>129</v>
      </c>
      <c r="H39" s="1611"/>
      <c r="I39" s="1611"/>
      <c r="J39" s="1611"/>
      <c r="K39" s="1611"/>
      <c r="L39" s="1611"/>
      <c r="M39" s="1611"/>
      <c r="N39" s="1611"/>
      <c r="O39" s="1611"/>
    </row>
    <row r="40" spans="1:15" ht="15" customHeight="1" hidden="1">
      <c r="A40" s="1612" t="s">
        <v>39</v>
      </c>
      <c r="B40" s="1612"/>
      <c r="C40" s="517">
        <v>1</v>
      </c>
      <c r="D40" s="517">
        <v>2</v>
      </c>
      <c r="E40" s="517">
        <v>3</v>
      </c>
      <c r="F40" s="517">
        <v>4</v>
      </c>
      <c r="G40" s="517">
        <v>5</v>
      </c>
      <c r="H40" s="517">
        <v>6</v>
      </c>
      <c r="I40" s="517">
        <v>7</v>
      </c>
      <c r="J40" s="517">
        <v>8</v>
      </c>
      <c r="K40" s="517">
        <v>9</v>
      </c>
      <c r="L40" s="517">
        <v>10</v>
      </c>
      <c r="M40" s="517">
        <v>11</v>
      </c>
      <c r="N40" s="517">
        <v>12</v>
      </c>
      <c r="O40" s="517">
        <v>13</v>
      </c>
    </row>
    <row r="41" spans="1:15" ht="15" hidden="1">
      <c r="A41" s="508" t="s">
        <v>0</v>
      </c>
      <c r="B41" s="438" t="s">
        <v>130</v>
      </c>
      <c r="C41" s="791">
        <f aca="true" t="shared" si="14" ref="C41:C47">SUM(D41,E41,H41:O41)</f>
        <v>126</v>
      </c>
      <c r="D41" s="799">
        <f aca="true" t="shared" si="15" ref="D41:O41">SUM(D42:D43)</f>
        <v>11</v>
      </c>
      <c r="E41" s="799">
        <f t="shared" si="15"/>
        <v>109</v>
      </c>
      <c r="F41" s="799">
        <f t="shared" si="15"/>
        <v>0</v>
      </c>
      <c r="G41" s="799">
        <f t="shared" si="15"/>
        <v>109</v>
      </c>
      <c r="H41" s="799">
        <f t="shared" si="15"/>
        <v>0</v>
      </c>
      <c r="I41" s="799">
        <f t="shared" si="15"/>
        <v>1</v>
      </c>
      <c r="J41" s="799">
        <f t="shared" si="15"/>
        <v>5</v>
      </c>
      <c r="K41" s="799">
        <f t="shared" si="15"/>
        <v>0</v>
      </c>
      <c r="L41" s="799">
        <f t="shared" si="15"/>
        <v>0</v>
      </c>
      <c r="M41" s="799">
        <f t="shared" si="15"/>
        <v>0</v>
      </c>
      <c r="N41" s="799">
        <f t="shared" si="15"/>
        <v>0</v>
      </c>
      <c r="O41" s="799">
        <f t="shared" si="15"/>
        <v>0</v>
      </c>
    </row>
    <row r="42" spans="1:15" ht="15" hidden="1">
      <c r="A42" s="507">
        <v>1</v>
      </c>
      <c r="B42" s="429" t="s">
        <v>131</v>
      </c>
      <c r="C42" s="822">
        <f t="shared" si="14"/>
        <v>111</v>
      </c>
      <c r="D42" s="821">
        <v>11</v>
      </c>
      <c r="E42" s="823">
        <f>F42+G42</f>
        <v>94</v>
      </c>
      <c r="F42" s="821">
        <v>0</v>
      </c>
      <c r="G42" s="821">
        <v>94</v>
      </c>
      <c r="H42" s="821">
        <v>0</v>
      </c>
      <c r="I42" s="821">
        <v>1</v>
      </c>
      <c r="J42" s="821">
        <v>5</v>
      </c>
      <c r="K42" s="821">
        <v>0</v>
      </c>
      <c r="L42" s="821">
        <v>0</v>
      </c>
      <c r="M42" s="821">
        <v>0</v>
      </c>
      <c r="N42" s="821">
        <v>0</v>
      </c>
      <c r="O42" s="821">
        <v>0</v>
      </c>
    </row>
    <row r="43" spans="1:15" ht="15" hidden="1">
      <c r="A43" s="507">
        <v>2</v>
      </c>
      <c r="B43" s="429" t="s">
        <v>132</v>
      </c>
      <c r="C43" s="822">
        <f t="shared" si="14"/>
        <v>15</v>
      </c>
      <c r="D43" s="821">
        <v>0</v>
      </c>
      <c r="E43" s="823">
        <f>F43+G43</f>
        <v>15</v>
      </c>
      <c r="F43" s="821">
        <v>0</v>
      </c>
      <c r="G43" s="821">
        <v>15</v>
      </c>
      <c r="H43" s="821">
        <v>0</v>
      </c>
      <c r="I43" s="821">
        <v>0</v>
      </c>
      <c r="J43" s="821">
        <v>0</v>
      </c>
      <c r="K43" s="821">
        <v>0</v>
      </c>
      <c r="L43" s="821">
        <v>0</v>
      </c>
      <c r="M43" s="821">
        <v>0</v>
      </c>
      <c r="N43" s="821">
        <v>0</v>
      </c>
      <c r="O43" s="821">
        <v>0</v>
      </c>
    </row>
    <row r="44" spans="1:15" ht="15" hidden="1">
      <c r="A44" s="508" t="s">
        <v>1</v>
      </c>
      <c r="B44" s="394" t="s">
        <v>133</v>
      </c>
      <c r="C44" s="822">
        <f t="shared" si="14"/>
        <v>0</v>
      </c>
      <c r="D44" s="821">
        <v>0</v>
      </c>
      <c r="E44" s="823">
        <f>F44+G44</f>
        <v>0</v>
      </c>
      <c r="F44" s="821"/>
      <c r="G44" s="821"/>
      <c r="H44" s="821"/>
      <c r="I44" s="821"/>
      <c r="J44" s="821"/>
      <c r="K44" s="821"/>
      <c r="L44" s="821">
        <v>0</v>
      </c>
      <c r="M44" s="821">
        <v>0</v>
      </c>
      <c r="N44" s="821">
        <v>0</v>
      </c>
      <c r="O44" s="821">
        <v>0</v>
      </c>
    </row>
    <row r="45" spans="1:15" ht="15" hidden="1">
      <c r="A45" s="508" t="s">
        <v>9</v>
      </c>
      <c r="B45" s="394" t="s">
        <v>134</v>
      </c>
      <c r="C45" s="822">
        <f t="shared" si="14"/>
        <v>0</v>
      </c>
      <c r="D45" s="821"/>
      <c r="E45" s="823"/>
      <c r="F45" s="821"/>
      <c r="G45" s="821"/>
      <c r="H45" s="821"/>
      <c r="I45" s="821"/>
      <c r="J45" s="821"/>
      <c r="K45" s="821"/>
      <c r="L45" s="821"/>
      <c r="M45" s="821"/>
      <c r="N45" s="821"/>
      <c r="O45" s="821"/>
    </row>
    <row r="46" spans="1:15" ht="18" customHeight="1" hidden="1">
      <c r="A46" s="508" t="s">
        <v>135</v>
      </c>
      <c r="B46" s="394" t="s">
        <v>136</v>
      </c>
      <c r="C46" s="824">
        <f t="shared" si="14"/>
        <v>126</v>
      </c>
      <c r="D46" s="824">
        <f>D41-SUM(D44,D45)</f>
        <v>11</v>
      </c>
      <c r="E46" s="825">
        <f aca="true" t="shared" si="16" ref="E46:E54">SUM(F46:G46)</f>
        <v>109</v>
      </c>
      <c r="F46" s="824">
        <f aca="true" t="shared" si="17" ref="F46:O46">F41-SUM(F44,F45)</f>
        <v>0</v>
      </c>
      <c r="G46" s="824">
        <f t="shared" si="17"/>
        <v>109</v>
      </c>
      <c r="H46" s="824">
        <f t="shared" si="17"/>
        <v>0</v>
      </c>
      <c r="I46" s="824">
        <f t="shared" si="17"/>
        <v>1</v>
      </c>
      <c r="J46" s="824">
        <f t="shared" si="17"/>
        <v>5</v>
      </c>
      <c r="K46" s="824">
        <f t="shared" si="17"/>
        <v>0</v>
      </c>
      <c r="L46" s="824">
        <f t="shared" si="17"/>
        <v>0</v>
      </c>
      <c r="M46" s="824">
        <f t="shared" si="17"/>
        <v>0</v>
      </c>
      <c r="N46" s="824">
        <f t="shared" si="17"/>
        <v>0</v>
      </c>
      <c r="O46" s="824">
        <f t="shared" si="17"/>
        <v>0</v>
      </c>
    </row>
    <row r="47" spans="1:15" ht="0.75" customHeight="1" hidden="1">
      <c r="A47" s="508" t="s">
        <v>51</v>
      </c>
      <c r="B47" s="394" t="s">
        <v>137</v>
      </c>
      <c r="C47" s="824">
        <f t="shared" si="14"/>
        <v>14</v>
      </c>
      <c r="D47" s="826">
        <f>SUM(D48:D54)</f>
        <v>0</v>
      </c>
      <c r="E47" s="825">
        <f t="shared" si="16"/>
        <v>13</v>
      </c>
      <c r="F47" s="826">
        <f aca="true" t="shared" si="18" ref="F47:N47">SUM(F48:F54)</f>
        <v>0</v>
      </c>
      <c r="G47" s="826">
        <f t="shared" si="18"/>
        <v>13</v>
      </c>
      <c r="H47" s="826">
        <f t="shared" si="18"/>
        <v>0</v>
      </c>
      <c r="I47" s="826">
        <f t="shared" si="18"/>
        <v>0</v>
      </c>
      <c r="J47" s="826">
        <f t="shared" si="18"/>
        <v>1</v>
      </c>
      <c r="K47" s="826">
        <f t="shared" si="18"/>
        <v>0</v>
      </c>
      <c r="L47" s="826">
        <f t="shared" si="18"/>
        <v>0</v>
      </c>
      <c r="M47" s="826">
        <f t="shared" si="18"/>
        <v>0</v>
      </c>
      <c r="N47" s="826">
        <f t="shared" si="18"/>
        <v>0</v>
      </c>
      <c r="O47" s="826">
        <f>SUM(O48:O54)</f>
        <v>0</v>
      </c>
    </row>
    <row r="48" spans="1:15" ht="15" hidden="1">
      <c r="A48" s="507" t="s">
        <v>53</v>
      </c>
      <c r="B48" s="429" t="s">
        <v>138</v>
      </c>
      <c r="C48" s="822">
        <f aca="true" t="shared" si="19" ref="C48:C55">D48+E48+H48+I48+J48+K48+L48+M48+N48+O48</f>
        <v>3</v>
      </c>
      <c r="D48" s="821">
        <v>0</v>
      </c>
      <c r="E48" s="1117">
        <f t="shared" si="16"/>
        <v>3</v>
      </c>
      <c r="F48" s="821">
        <v>0</v>
      </c>
      <c r="G48" s="821">
        <v>3</v>
      </c>
      <c r="H48" s="821">
        <v>0</v>
      </c>
      <c r="I48" s="821">
        <v>0</v>
      </c>
      <c r="J48" s="821">
        <v>0</v>
      </c>
      <c r="K48" s="821">
        <v>0</v>
      </c>
      <c r="L48" s="821">
        <v>0</v>
      </c>
      <c r="M48" s="821">
        <v>0</v>
      </c>
      <c r="N48" s="821">
        <v>0</v>
      </c>
      <c r="O48" s="821">
        <v>0</v>
      </c>
    </row>
    <row r="49" spans="1:15" ht="15" hidden="1">
      <c r="A49" s="507" t="s">
        <v>54</v>
      </c>
      <c r="B49" s="429" t="s">
        <v>139</v>
      </c>
      <c r="C49" s="822">
        <f t="shared" si="19"/>
        <v>1</v>
      </c>
      <c r="D49" s="821">
        <v>0</v>
      </c>
      <c r="E49" s="1117">
        <f t="shared" si="16"/>
        <v>0</v>
      </c>
      <c r="F49" s="821">
        <v>0</v>
      </c>
      <c r="G49" s="821">
        <v>0</v>
      </c>
      <c r="H49" s="821">
        <v>0</v>
      </c>
      <c r="I49" s="821">
        <v>0</v>
      </c>
      <c r="J49" s="821">
        <v>1</v>
      </c>
      <c r="K49" s="821">
        <v>0</v>
      </c>
      <c r="L49" s="821">
        <v>0</v>
      </c>
      <c r="M49" s="821">
        <v>0</v>
      </c>
      <c r="N49" s="821">
        <v>0</v>
      </c>
      <c r="O49" s="821">
        <v>0</v>
      </c>
    </row>
    <row r="50" spans="1:15" ht="15" hidden="1">
      <c r="A50" s="507" t="s">
        <v>140</v>
      </c>
      <c r="B50" s="429" t="s">
        <v>141</v>
      </c>
      <c r="C50" s="822">
        <f t="shared" si="19"/>
        <v>10</v>
      </c>
      <c r="D50" s="821"/>
      <c r="E50" s="1117">
        <f t="shared" si="16"/>
        <v>10</v>
      </c>
      <c r="F50" s="821">
        <v>0</v>
      </c>
      <c r="G50" s="821">
        <v>10</v>
      </c>
      <c r="H50" s="821">
        <v>0</v>
      </c>
      <c r="I50" s="821">
        <v>0</v>
      </c>
      <c r="J50" s="821">
        <v>0</v>
      </c>
      <c r="K50" s="821">
        <v>0</v>
      </c>
      <c r="L50" s="821">
        <v>0</v>
      </c>
      <c r="M50" s="821">
        <v>0</v>
      </c>
      <c r="N50" s="821">
        <v>0</v>
      </c>
      <c r="O50" s="821">
        <v>0</v>
      </c>
    </row>
    <row r="51" spans="1:15" ht="18.75" customHeight="1" hidden="1">
      <c r="A51" s="507" t="s">
        <v>142</v>
      </c>
      <c r="B51" s="429" t="s">
        <v>143</v>
      </c>
      <c r="C51" s="822">
        <f t="shared" si="19"/>
        <v>0</v>
      </c>
      <c r="D51" s="821">
        <v>0</v>
      </c>
      <c r="E51" s="1117">
        <f t="shared" si="16"/>
        <v>0</v>
      </c>
      <c r="F51" s="821">
        <v>0</v>
      </c>
      <c r="G51" s="821"/>
      <c r="H51" s="821">
        <v>0</v>
      </c>
      <c r="I51" s="821">
        <v>0</v>
      </c>
      <c r="J51" s="821">
        <v>0</v>
      </c>
      <c r="K51" s="821">
        <v>0</v>
      </c>
      <c r="L51" s="821">
        <v>0</v>
      </c>
      <c r="M51" s="821">
        <v>0</v>
      </c>
      <c r="N51" s="821">
        <v>0</v>
      </c>
      <c r="O51" s="863"/>
    </row>
    <row r="52" spans="1:15" ht="15.75" hidden="1">
      <c r="A52" s="507" t="s">
        <v>144</v>
      </c>
      <c r="B52" s="429" t="s">
        <v>145</v>
      </c>
      <c r="C52" s="822">
        <f t="shared" si="19"/>
        <v>0</v>
      </c>
      <c r="D52" s="821">
        <v>0</v>
      </c>
      <c r="E52" s="1117">
        <f t="shared" si="16"/>
        <v>0</v>
      </c>
      <c r="F52" s="863"/>
      <c r="G52" s="863"/>
      <c r="H52" s="863"/>
      <c r="I52" s="863"/>
      <c r="J52" s="863"/>
      <c r="K52" s="863"/>
      <c r="L52" s="863"/>
      <c r="M52" s="863"/>
      <c r="N52" s="863"/>
      <c r="O52" s="863"/>
    </row>
    <row r="53" spans="1:15" ht="25.5" hidden="1">
      <c r="A53" s="507" t="s">
        <v>146</v>
      </c>
      <c r="B53" s="431" t="s">
        <v>147</v>
      </c>
      <c r="C53" s="822">
        <f t="shared" si="19"/>
        <v>0</v>
      </c>
      <c r="D53" s="821">
        <v>0</v>
      </c>
      <c r="E53" s="1117">
        <f t="shared" si="16"/>
        <v>0</v>
      </c>
      <c r="F53" s="863"/>
      <c r="G53" s="863"/>
      <c r="H53" s="863"/>
      <c r="I53" s="863"/>
      <c r="J53" s="863"/>
      <c r="K53" s="863"/>
      <c r="L53" s="863"/>
      <c r="M53" s="863"/>
      <c r="N53" s="863"/>
      <c r="O53" s="863"/>
    </row>
    <row r="54" spans="1:15" ht="15.75" hidden="1">
      <c r="A54" s="507" t="s">
        <v>148</v>
      </c>
      <c r="B54" s="429" t="s">
        <v>149</v>
      </c>
      <c r="C54" s="822">
        <f t="shared" si="19"/>
        <v>0</v>
      </c>
      <c r="D54" s="821">
        <v>0</v>
      </c>
      <c r="E54" s="1117">
        <f t="shared" si="16"/>
        <v>0</v>
      </c>
      <c r="F54" s="863"/>
      <c r="G54" s="863"/>
      <c r="H54" s="863"/>
      <c r="I54" s="863"/>
      <c r="J54" s="863"/>
      <c r="K54" s="863"/>
      <c r="L54" s="863"/>
      <c r="M54" s="863"/>
      <c r="N54" s="863"/>
      <c r="O54" s="863"/>
    </row>
    <row r="55" spans="1:15" ht="15" hidden="1">
      <c r="A55" s="508" t="s">
        <v>52</v>
      </c>
      <c r="B55" s="394" t="s">
        <v>150</v>
      </c>
      <c r="C55" s="791">
        <f t="shared" si="19"/>
        <v>112</v>
      </c>
      <c r="D55" s="791">
        <f>D46-D47</f>
        <v>11</v>
      </c>
      <c r="E55" s="799">
        <f>SUM(F55:G55)</f>
        <v>96</v>
      </c>
      <c r="F55" s="791">
        <f>F46-F47</f>
        <v>0</v>
      </c>
      <c r="G55" s="791">
        <f>G46-G47</f>
        <v>96</v>
      </c>
      <c r="H55" s="791">
        <f>H46-H47</f>
        <v>0</v>
      </c>
      <c r="I55" s="791">
        <f aca="true" t="shared" si="20" ref="I55:N55">I46-I47</f>
        <v>1</v>
      </c>
      <c r="J55" s="791">
        <f t="shared" si="20"/>
        <v>4</v>
      </c>
      <c r="K55" s="791">
        <f t="shared" si="20"/>
        <v>0</v>
      </c>
      <c r="L55" s="791">
        <f t="shared" si="20"/>
        <v>0</v>
      </c>
      <c r="M55" s="791">
        <f t="shared" si="20"/>
        <v>0</v>
      </c>
      <c r="N55" s="791">
        <f t="shared" si="20"/>
        <v>0</v>
      </c>
      <c r="O55" s="791">
        <f>O41-O47</f>
        <v>0</v>
      </c>
    </row>
    <row r="56" spans="1:15" ht="0.75" customHeight="1" hidden="1">
      <c r="A56" s="509" t="s">
        <v>538</v>
      </c>
      <c r="B56" s="432" t="s">
        <v>151</v>
      </c>
      <c r="C56" s="516">
        <f>(C48+C49)/C47</f>
        <v>0.2857142857142857</v>
      </c>
      <c r="D56" s="516" t="e">
        <f aca="true" t="shared" si="21" ref="D56:O56">(D48+D49)/D47</f>
        <v>#DIV/0!</v>
      </c>
      <c r="E56" s="516">
        <f t="shared" si="21"/>
        <v>0.23076923076923078</v>
      </c>
      <c r="F56" s="516" t="e">
        <f t="shared" si="21"/>
        <v>#DIV/0!</v>
      </c>
      <c r="G56" s="516">
        <f t="shared" si="21"/>
        <v>0.23076923076923078</v>
      </c>
      <c r="H56" s="516" t="e">
        <f t="shared" si="21"/>
        <v>#DIV/0!</v>
      </c>
      <c r="I56" s="516" t="e">
        <f t="shared" si="21"/>
        <v>#DIV/0!</v>
      </c>
      <c r="J56" s="516">
        <f t="shared" si="21"/>
        <v>1</v>
      </c>
      <c r="K56" s="516" t="e">
        <f t="shared" si="21"/>
        <v>#DIV/0!</v>
      </c>
      <c r="L56" s="516" t="e">
        <f t="shared" si="21"/>
        <v>#DIV/0!</v>
      </c>
      <c r="M56" s="516" t="e">
        <f t="shared" si="21"/>
        <v>#DIV/0!</v>
      </c>
      <c r="N56" s="516" t="e">
        <f t="shared" si="21"/>
        <v>#DIV/0!</v>
      </c>
      <c r="O56" s="516" t="e">
        <f t="shared" si="21"/>
        <v>#DIV/0!</v>
      </c>
    </row>
    <row r="57" ht="15" hidden="1"/>
    <row r="58" ht="15" hidden="1">
      <c r="B58" s="920" t="s">
        <v>503</v>
      </c>
    </row>
    <row r="59" ht="15" hidden="1"/>
    <row r="60" spans="1:15" ht="15" hidden="1">
      <c r="A60" s="1596" t="s">
        <v>68</v>
      </c>
      <c r="B60" s="1596"/>
      <c r="C60" s="1596" t="s">
        <v>37</v>
      </c>
      <c r="D60" s="1596" t="s">
        <v>335</v>
      </c>
      <c r="E60" s="1596"/>
      <c r="F60" s="1596"/>
      <c r="G60" s="1596"/>
      <c r="H60" s="1596"/>
      <c r="I60" s="1596"/>
      <c r="J60" s="1596"/>
      <c r="K60" s="1596"/>
      <c r="L60" s="1596"/>
      <c r="M60" s="1596"/>
      <c r="N60" s="1596"/>
      <c r="O60" s="1596"/>
    </row>
    <row r="61" spans="1:15" ht="15" hidden="1">
      <c r="A61" s="1596"/>
      <c r="B61" s="1596"/>
      <c r="C61" s="1596"/>
      <c r="D61" s="1613" t="s">
        <v>119</v>
      </c>
      <c r="E61" s="1611" t="s">
        <v>120</v>
      </c>
      <c r="F61" s="1611"/>
      <c r="G61" s="1611"/>
      <c r="H61" s="1611" t="s">
        <v>121</v>
      </c>
      <c r="I61" s="1611" t="s">
        <v>122</v>
      </c>
      <c r="J61" s="1611" t="s">
        <v>123</v>
      </c>
      <c r="K61" s="1611" t="s">
        <v>124</v>
      </c>
      <c r="L61" s="1611" t="s">
        <v>125</v>
      </c>
      <c r="M61" s="1611" t="s">
        <v>126</v>
      </c>
      <c r="N61" s="1611" t="s">
        <v>183</v>
      </c>
      <c r="O61" s="1611" t="s">
        <v>127</v>
      </c>
    </row>
    <row r="62" spans="1:15" ht="15" hidden="1">
      <c r="A62" s="1596"/>
      <c r="B62" s="1596"/>
      <c r="C62" s="1596"/>
      <c r="D62" s="1613"/>
      <c r="E62" s="1611" t="s">
        <v>36</v>
      </c>
      <c r="F62" s="1611" t="s">
        <v>7</v>
      </c>
      <c r="G62" s="1611"/>
      <c r="H62" s="1611"/>
      <c r="I62" s="1611"/>
      <c r="J62" s="1611"/>
      <c r="K62" s="1611"/>
      <c r="L62" s="1611"/>
      <c r="M62" s="1611"/>
      <c r="N62" s="1611"/>
      <c r="O62" s="1611"/>
    </row>
    <row r="63" spans="1:15" ht="0.75" customHeight="1" hidden="1">
      <c r="A63" s="1596"/>
      <c r="B63" s="1596"/>
      <c r="C63" s="1596"/>
      <c r="D63" s="1613"/>
      <c r="E63" s="1611"/>
      <c r="F63" s="560" t="s">
        <v>128</v>
      </c>
      <c r="G63" s="560" t="s">
        <v>129</v>
      </c>
      <c r="H63" s="1611"/>
      <c r="I63" s="1611"/>
      <c r="J63" s="1611"/>
      <c r="K63" s="1611"/>
      <c r="L63" s="1611"/>
      <c r="M63" s="1611"/>
      <c r="N63" s="1611"/>
      <c r="O63" s="1611"/>
    </row>
    <row r="64" spans="1:15" ht="15" hidden="1">
      <c r="A64" s="1612" t="s">
        <v>39</v>
      </c>
      <c r="B64" s="1612"/>
      <c r="C64" s="517">
        <v>1</v>
      </c>
      <c r="D64" s="517">
        <v>2</v>
      </c>
      <c r="E64" s="517">
        <v>3</v>
      </c>
      <c r="F64" s="517">
        <v>4</v>
      </c>
      <c r="G64" s="517">
        <v>5</v>
      </c>
      <c r="H64" s="517">
        <v>6</v>
      </c>
      <c r="I64" s="517">
        <v>7</v>
      </c>
      <c r="J64" s="517">
        <v>8</v>
      </c>
      <c r="K64" s="517">
        <v>9</v>
      </c>
      <c r="L64" s="517">
        <v>10</v>
      </c>
      <c r="M64" s="517">
        <v>11</v>
      </c>
      <c r="N64" s="517">
        <v>12</v>
      </c>
      <c r="O64" s="517">
        <v>13</v>
      </c>
    </row>
    <row r="65" spans="1:15" ht="15" hidden="1">
      <c r="A65" s="508" t="s">
        <v>0</v>
      </c>
      <c r="B65" s="438" t="s">
        <v>130</v>
      </c>
      <c r="C65" s="791">
        <f aca="true" t="shared" si="22" ref="C65:C71">SUM(D65,E65,H65:O65)</f>
        <v>246</v>
      </c>
      <c r="D65" s="799">
        <f aca="true" t="shared" si="23" ref="D65:O65">SUM(D66:D67)</f>
        <v>177</v>
      </c>
      <c r="E65" s="799">
        <f t="shared" si="23"/>
        <v>18</v>
      </c>
      <c r="F65" s="799">
        <f t="shared" si="23"/>
        <v>0</v>
      </c>
      <c r="G65" s="799">
        <f t="shared" si="23"/>
        <v>18</v>
      </c>
      <c r="H65" s="799">
        <f t="shared" si="23"/>
        <v>0</v>
      </c>
      <c r="I65" s="799">
        <f t="shared" si="23"/>
        <v>43</v>
      </c>
      <c r="J65" s="799">
        <f t="shared" si="23"/>
        <v>6</v>
      </c>
      <c r="K65" s="799">
        <f t="shared" si="23"/>
        <v>2</v>
      </c>
      <c r="L65" s="799">
        <f t="shared" si="23"/>
        <v>0</v>
      </c>
      <c r="M65" s="799">
        <f t="shared" si="23"/>
        <v>0</v>
      </c>
      <c r="N65" s="799">
        <f t="shared" si="23"/>
        <v>0</v>
      </c>
      <c r="O65" s="799">
        <f t="shared" si="23"/>
        <v>0</v>
      </c>
    </row>
    <row r="66" spans="1:15" ht="15" hidden="1">
      <c r="A66" s="507">
        <v>1</v>
      </c>
      <c r="B66" s="429" t="s">
        <v>131</v>
      </c>
      <c r="C66" s="822">
        <f t="shared" si="22"/>
        <v>170</v>
      </c>
      <c r="D66" s="406">
        <v>142</v>
      </c>
      <c r="E66" s="823">
        <f>F66+G66</f>
        <v>6</v>
      </c>
      <c r="F66" s="406">
        <v>0</v>
      </c>
      <c r="G66" s="406">
        <v>6</v>
      </c>
      <c r="H66" s="406">
        <v>0</v>
      </c>
      <c r="I66" s="406">
        <v>17</v>
      </c>
      <c r="J66" s="406">
        <v>3</v>
      </c>
      <c r="K66" s="406">
        <v>2</v>
      </c>
      <c r="L66" s="406">
        <v>0</v>
      </c>
      <c r="M66" s="406">
        <v>0</v>
      </c>
      <c r="N66" s="406">
        <v>0</v>
      </c>
      <c r="O66" s="406">
        <v>0</v>
      </c>
    </row>
    <row r="67" spans="1:15" ht="15" hidden="1">
      <c r="A67" s="507">
        <v>2</v>
      </c>
      <c r="B67" s="429" t="s">
        <v>132</v>
      </c>
      <c r="C67" s="822">
        <f t="shared" si="22"/>
        <v>76</v>
      </c>
      <c r="D67" s="406">
        <v>35</v>
      </c>
      <c r="E67" s="823">
        <f>F67+G67</f>
        <v>12</v>
      </c>
      <c r="F67" s="406">
        <v>0</v>
      </c>
      <c r="G67" s="406">
        <v>12</v>
      </c>
      <c r="H67" s="406">
        <v>0</v>
      </c>
      <c r="I67" s="406">
        <v>26</v>
      </c>
      <c r="J67" s="406">
        <v>3</v>
      </c>
      <c r="K67" s="406">
        <v>0</v>
      </c>
      <c r="L67" s="406">
        <v>0</v>
      </c>
      <c r="M67" s="406">
        <v>0</v>
      </c>
      <c r="N67" s="406">
        <v>0</v>
      </c>
      <c r="O67" s="406">
        <v>0</v>
      </c>
    </row>
    <row r="68" spans="1:15" ht="1.5" customHeight="1" hidden="1">
      <c r="A68" s="508" t="s">
        <v>1</v>
      </c>
      <c r="B68" s="394" t="s">
        <v>133</v>
      </c>
      <c r="C68" s="822">
        <f t="shared" si="22"/>
        <v>4</v>
      </c>
      <c r="D68" s="820"/>
      <c r="E68" s="823">
        <f>F68+G68</f>
        <v>2</v>
      </c>
      <c r="F68" s="406">
        <v>0</v>
      </c>
      <c r="G68" s="406">
        <v>2</v>
      </c>
      <c r="H68" s="406">
        <v>0</v>
      </c>
      <c r="I68" s="406">
        <v>2</v>
      </c>
      <c r="J68" s="406">
        <v>0</v>
      </c>
      <c r="K68" s="406">
        <v>0</v>
      </c>
      <c r="L68" s="406">
        <v>0</v>
      </c>
      <c r="M68" s="406">
        <v>0</v>
      </c>
      <c r="N68" s="406">
        <v>0</v>
      </c>
      <c r="O68" s="406">
        <v>0</v>
      </c>
    </row>
    <row r="69" spans="1:15" ht="15" hidden="1">
      <c r="A69" s="508" t="s">
        <v>9</v>
      </c>
      <c r="B69" s="394" t="s">
        <v>134</v>
      </c>
      <c r="C69" s="822">
        <f t="shared" si="22"/>
        <v>0</v>
      </c>
      <c r="D69" s="820">
        <f>SUM('[11]C. Thuy TD'!D63+'[11]H. Thủy'!D63+'[11]Q. Cường'!D63+'[11]Úy '!D63+'[11]Đ. Tiến'!D63+'[11]A. Huy '!D63+'[11]D. Hồng TD'!D63+'[11]Q. Huy TD'!D63)</f>
        <v>0</v>
      </c>
      <c r="E69" s="823"/>
      <c r="F69" s="821"/>
      <c r="G69" s="821"/>
      <c r="H69" s="821"/>
      <c r="I69" s="821"/>
      <c r="J69" s="821"/>
      <c r="K69" s="821"/>
      <c r="L69" s="821"/>
      <c r="M69" s="821"/>
      <c r="N69" s="821"/>
      <c r="O69" s="821"/>
    </row>
    <row r="70" spans="1:15" ht="15" hidden="1">
      <c r="A70" s="508" t="s">
        <v>135</v>
      </c>
      <c r="B70" s="394" t="s">
        <v>136</v>
      </c>
      <c r="C70" s="824">
        <f t="shared" si="22"/>
        <v>242</v>
      </c>
      <c r="D70" s="824">
        <f>D65-SUM(D68,D69)</f>
        <v>177</v>
      </c>
      <c r="E70" s="825">
        <f aca="true" t="shared" si="24" ref="E70:E76">SUM(F70:G70)</f>
        <v>16</v>
      </c>
      <c r="F70" s="824">
        <f aca="true" t="shared" si="25" ref="F70:O70">F65-SUM(F68,F69)</f>
        <v>0</v>
      </c>
      <c r="G70" s="824">
        <f t="shared" si="25"/>
        <v>16</v>
      </c>
      <c r="H70" s="824">
        <f t="shared" si="25"/>
        <v>0</v>
      </c>
      <c r="I70" s="824">
        <f t="shared" si="25"/>
        <v>41</v>
      </c>
      <c r="J70" s="824">
        <f t="shared" si="25"/>
        <v>6</v>
      </c>
      <c r="K70" s="824">
        <f t="shared" si="25"/>
        <v>2</v>
      </c>
      <c r="L70" s="824">
        <f t="shared" si="25"/>
        <v>0</v>
      </c>
      <c r="M70" s="824">
        <f t="shared" si="25"/>
        <v>0</v>
      </c>
      <c r="N70" s="824">
        <f t="shared" si="25"/>
        <v>0</v>
      </c>
      <c r="O70" s="824">
        <f t="shared" si="25"/>
        <v>0</v>
      </c>
    </row>
    <row r="71" spans="1:15" ht="1.5" customHeight="1" hidden="1">
      <c r="A71" s="508" t="s">
        <v>51</v>
      </c>
      <c r="B71" s="394" t="s">
        <v>137</v>
      </c>
      <c r="C71" s="824">
        <f t="shared" si="22"/>
        <v>121</v>
      </c>
      <c r="D71" s="826">
        <f>SUM(D72:D78)</f>
        <v>83</v>
      </c>
      <c r="E71" s="825">
        <f t="shared" si="24"/>
        <v>7</v>
      </c>
      <c r="F71" s="826">
        <f aca="true" t="shared" si="26" ref="F71:N71">SUM(F72:F78)</f>
        <v>0</v>
      </c>
      <c r="G71" s="826">
        <f t="shared" si="26"/>
        <v>7</v>
      </c>
      <c r="H71" s="826">
        <f t="shared" si="26"/>
        <v>0</v>
      </c>
      <c r="I71" s="826">
        <f t="shared" si="26"/>
        <v>26</v>
      </c>
      <c r="J71" s="826">
        <f t="shared" si="26"/>
        <v>4</v>
      </c>
      <c r="K71" s="826">
        <f t="shared" si="26"/>
        <v>1</v>
      </c>
      <c r="L71" s="826">
        <f t="shared" si="26"/>
        <v>0</v>
      </c>
      <c r="M71" s="826">
        <f t="shared" si="26"/>
        <v>0</v>
      </c>
      <c r="N71" s="826">
        <f t="shared" si="26"/>
        <v>0</v>
      </c>
      <c r="O71" s="826">
        <f>SUM(O72:O78)</f>
        <v>0</v>
      </c>
    </row>
    <row r="72" spans="1:15" ht="15" hidden="1">
      <c r="A72" s="507" t="s">
        <v>53</v>
      </c>
      <c r="B72" s="429" t="s">
        <v>138</v>
      </c>
      <c r="C72" s="822">
        <f aca="true" t="shared" si="27" ref="C72:C79">D72+E72+H72+I72+J72+K72+L72+M72+N72+O72</f>
        <v>19</v>
      </c>
      <c r="D72" s="406">
        <v>7</v>
      </c>
      <c r="E72" s="1117">
        <f t="shared" si="24"/>
        <v>6</v>
      </c>
      <c r="F72" s="406">
        <v>0</v>
      </c>
      <c r="G72" s="406">
        <v>6</v>
      </c>
      <c r="H72" s="406">
        <v>0</v>
      </c>
      <c r="I72" s="406">
        <v>6</v>
      </c>
      <c r="J72" s="406">
        <v>0</v>
      </c>
      <c r="K72" s="406">
        <v>0</v>
      </c>
      <c r="L72" s="406">
        <v>0</v>
      </c>
      <c r="M72" s="406">
        <v>0</v>
      </c>
      <c r="N72" s="406">
        <v>0</v>
      </c>
      <c r="O72" s="406">
        <v>0</v>
      </c>
    </row>
    <row r="73" spans="1:15" ht="15" hidden="1">
      <c r="A73" s="507" t="s">
        <v>54</v>
      </c>
      <c r="B73" s="429" t="s">
        <v>139</v>
      </c>
      <c r="C73" s="822">
        <f t="shared" si="27"/>
        <v>5</v>
      </c>
      <c r="D73" s="406">
        <v>3</v>
      </c>
      <c r="E73" s="827">
        <f t="shared" si="24"/>
        <v>0</v>
      </c>
      <c r="F73" s="406">
        <v>0</v>
      </c>
      <c r="G73" s="406">
        <v>0</v>
      </c>
      <c r="H73" s="406">
        <v>0</v>
      </c>
      <c r="I73" s="406">
        <v>0</v>
      </c>
      <c r="J73" s="406">
        <v>2</v>
      </c>
      <c r="K73" s="406">
        <v>0</v>
      </c>
      <c r="L73" s="406">
        <v>0</v>
      </c>
      <c r="M73" s="406">
        <v>0</v>
      </c>
      <c r="N73" s="406">
        <v>0</v>
      </c>
      <c r="O73" s="406">
        <v>0</v>
      </c>
    </row>
    <row r="74" spans="1:15" ht="15" hidden="1">
      <c r="A74" s="507" t="s">
        <v>140</v>
      </c>
      <c r="B74" s="429" t="s">
        <v>141</v>
      </c>
      <c r="C74" s="822">
        <f t="shared" si="27"/>
        <v>75</v>
      </c>
      <c r="D74" s="406">
        <v>52</v>
      </c>
      <c r="E74" s="827">
        <f t="shared" si="24"/>
        <v>1</v>
      </c>
      <c r="F74" s="406">
        <v>0</v>
      </c>
      <c r="G74" s="406">
        <v>1</v>
      </c>
      <c r="H74" s="406">
        <v>0</v>
      </c>
      <c r="I74" s="406">
        <v>19</v>
      </c>
      <c r="J74" s="406">
        <v>2</v>
      </c>
      <c r="K74" s="406">
        <v>1</v>
      </c>
      <c r="L74" s="406">
        <v>0</v>
      </c>
      <c r="M74" s="406">
        <v>0</v>
      </c>
      <c r="N74" s="406">
        <v>0</v>
      </c>
      <c r="O74" s="406">
        <v>0</v>
      </c>
    </row>
    <row r="75" spans="1:15" ht="15" hidden="1">
      <c r="A75" s="507" t="s">
        <v>142</v>
      </c>
      <c r="B75" s="429" t="s">
        <v>143</v>
      </c>
      <c r="C75" s="822">
        <f t="shared" si="27"/>
        <v>21</v>
      </c>
      <c r="D75" s="406">
        <v>20</v>
      </c>
      <c r="E75" s="827">
        <f t="shared" si="24"/>
        <v>0</v>
      </c>
      <c r="F75" s="406">
        <v>0</v>
      </c>
      <c r="G75" s="406">
        <v>0</v>
      </c>
      <c r="H75" s="406">
        <v>0</v>
      </c>
      <c r="I75" s="406">
        <v>1</v>
      </c>
      <c r="J75" s="406">
        <v>0</v>
      </c>
      <c r="K75" s="406">
        <v>0</v>
      </c>
      <c r="L75" s="406">
        <v>0</v>
      </c>
      <c r="M75" s="406">
        <v>0</v>
      </c>
      <c r="N75" s="406">
        <v>0</v>
      </c>
      <c r="O75" s="406">
        <v>0</v>
      </c>
    </row>
    <row r="76" spans="1:15" ht="15" hidden="1">
      <c r="A76" s="507" t="s">
        <v>144</v>
      </c>
      <c r="B76" s="429" t="s">
        <v>145</v>
      </c>
      <c r="C76" s="822">
        <f t="shared" si="27"/>
        <v>0</v>
      </c>
      <c r="D76" s="406">
        <v>0</v>
      </c>
      <c r="E76" s="827">
        <f t="shared" si="24"/>
        <v>0</v>
      </c>
      <c r="F76" s="406">
        <v>0</v>
      </c>
      <c r="G76" s="406">
        <v>0</v>
      </c>
      <c r="H76" s="406">
        <v>0</v>
      </c>
      <c r="I76" s="406">
        <v>0</v>
      </c>
      <c r="J76" s="406">
        <v>0</v>
      </c>
      <c r="K76" s="406">
        <v>0</v>
      </c>
      <c r="L76" s="406">
        <v>0</v>
      </c>
      <c r="M76" s="406">
        <v>0</v>
      </c>
      <c r="N76" s="406">
        <v>0</v>
      </c>
      <c r="O76" s="406">
        <v>0</v>
      </c>
    </row>
    <row r="77" spans="1:15" ht="25.5" hidden="1">
      <c r="A77" s="507" t="s">
        <v>146</v>
      </c>
      <c r="B77" s="431" t="s">
        <v>147</v>
      </c>
      <c r="C77" s="822">
        <f t="shared" si="27"/>
        <v>0</v>
      </c>
      <c r="D77" s="406">
        <v>0</v>
      </c>
      <c r="E77" s="827">
        <f>SUM(F77:G77)</f>
        <v>0</v>
      </c>
      <c r="F77" s="406">
        <v>0</v>
      </c>
      <c r="G77" s="406">
        <v>0</v>
      </c>
      <c r="H77" s="406">
        <v>0</v>
      </c>
      <c r="I77" s="406">
        <v>0</v>
      </c>
      <c r="J77" s="406">
        <v>0</v>
      </c>
      <c r="K77" s="406">
        <v>0</v>
      </c>
      <c r="L77" s="406">
        <v>0</v>
      </c>
      <c r="M77" s="406">
        <v>0</v>
      </c>
      <c r="N77" s="406">
        <v>0</v>
      </c>
      <c r="O77" s="406">
        <v>0</v>
      </c>
    </row>
    <row r="78" spans="1:15" ht="15.75" customHeight="1" hidden="1">
      <c r="A78" s="507" t="s">
        <v>148</v>
      </c>
      <c r="B78" s="429" t="s">
        <v>149</v>
      </c>
      <c r="C78" s="822">
        <f t="shared" si="27"/>
        <v>1</v>
      </c>
      <c r="D78" s="406">
        <v>1</v>
      </c>
      <c r="E78" s="827">
        <f>SUM(F78:G78)</f>
        <v>0</v>
      </c>
      <c r="F78" s="406">
        <v>0</v>
      </c>
      <c r="G78" s="406">
        <v>0</v>
      </c>
      <c r="H78" s="406">
        <v>0</v>
      </c>
      <c r="I78" s="406">
        <v>0</v>
      </c>
      <c r="J78" s="406">
        <v>0</v>
      </c>
      <c r="K78" s="406">
        <v>0</v>
      </c>
      <c r="L78" s="406">
        <v>0</v>
      </c>
      <c r="M78" s="406">
        <v>0</v>
      </c>
      <c r="N78" s="406">
        <v>0</v>
      </c>
      <c r="O78" s="406">
        <v>0</v>
      </c>
    </row>
    <row r="79" spans="1:15" ht="15" hidden="1">
      <c r="A79" s="508" t="s">
        <v>52</v>
      </c>
      <c r="B79" s="394" t="s">
        <v>150</v>
      </c>
      <c r="C79" s="791">
        <f t="shared" si="27"/>
        <v>121</v>
      </c>
      <c r="D79" s="791">
        <f>D70-D71</f>
        <v>94</v>
      </c>
      <c r="E79" s="799">
        <f>SUM(F79:G79)</f>
        <v>9</v>
      </c>
      <c r="F79" s="791">
        <f>F70-F71</f>
        <v>0</v>
      </c>
      <c r="G79" s="791">
        <f>G70-G71</f>
        <v>9</v>
      </c>
      <c r="H79" s="791">
        <f>H70-H71</f>
        <v>0</v>
      </c>
      <c r="I79" s="791">
        <f aca="true" t="shared" si="28" ref="I79:N79">I70-I71</f>
        <v>15</v>
      </c>
      <c r="J79" s="791">
        <f t="shared" si="28"/>
        <v>2</v>
      </c>
      <c r="K79" s="791">
        <f t="shared" si="28"/>
        <v>1</v>
      </c>
      <c r="L79" s="791">
        <f t="shared" si="28"/>
        <v>0</v>
      </c>
      <c r="M79" s="791">
        <f t="shared" si="28"/>
        <v>0</v>
      </c>
      <c r="N79" s="791">
        <f t="shared" si="28"/>
        <v>0</v>
      </c>
      <c r="O79" s="791">
        <f>O65-O71</f>
        <v>0</v>
      </c>
    </row>
    <row r="80" spans="1:15" ht="25.5" hidden="1">
      <c r="A80" s="509" t="s">
        <v>538</v>
      </c>
      <c r="B80" s="432" t="s">
        <v>151</v>
      </c>
      <c r="C80" s="516">
        <f>(C72+C73)/C71</f>
        <v>0.19834710743801653</v>
      </c>
      <c r="D80" s="516">
        <f aca="true" t="shared" si="29" ref="D80:O80">(D72+D73)/D71</f>
        <v>0.12048192771084337</v>
      </c>
      <c r="E80" s="516">
        <f t="shared" si="29"/>
        <v>0.8571428571428571</v>
      </c>
      <c r="F80" s="516" t="e">
        <f t="shared" si="29"/>
        <v>#DIV/0!</v>
      </c>
      <c r="G80" s="516">
        <f t="shared" si="29"/>
        <v>0.8571428571428571</v>
      </c>
      <c r="H80" s="516" t="e">
        <f t="shared" si="29"/>
        <v>#DIV/0!</v>
      </c>
      <c r="I80" s="516">
        <f t="shared" si="29"/>
        <v>0.23076923076923078</v>
      </c>
      <c r="J80" s="516">
        <f t="shared" si="29"/>
        <v>0.5</v>
      </c>
      <c r="K80" s="516">
        <f t="shared" si="29"/>
        <v>0</v>
      </c>
      <c r="L80" s="516" t="e">
        <f t="shared" si="29"/>
        <v>#DIV/0!</v>
      </c>
      <c r="M80" s="516" t="e">
        <f t="shared" si="29"/>
        <v>#DIV/0!</v>
      </c>
      <c r="N80" s="516" t="e">
        <f t="shared" si="29"/>
        <v>#DIV/0!</v>
      </c>
      <c r="O80" s="516" t="e">
        <f t="shared" si="29"/>
        <v>#DIV/0!</v>
      </c>
    </row>
    <row r="81" ht="13.5" customHeight="1" hidden="1"/>
    <row r="82" ht="15" hidden="1">
      <c r="B82" s="920" t="s">
        <v>737</v>
      </c>
    </row>
    <row r="83" spans="1:15" ht="0.75" customHeight="1" hidden="1">
      <c r="A83" s="1596" t="s">
        <v>68</v>
      </c>
      <c r="B83" s="1596"/>
      <c r="C83" s="1596" t="s">
        <v>37</v>
      </c>
      <c r="D83" s="1596" t="s">
        <v>335</v>
      </c>
      <c r="E83" s="1596"/>
      <c r="F83" s="1596"/>
      <c r="G83" s="1596"/>
      <c r="H83" s="1596"/>
      <c r="I83" s="1596"/>
      <c r="J83" s="1596"/>
      <c r="K83" s="1596"/>
      <c r="L83" s="1596"/>
      <c r="M83" s="1596"/>
      <c r="N83" s="1596"/>
      <c r="O83" s="1596"/>
    </row>
    <row r="84" spans="1:15" ht="15" hidden="1">
      <c r="A84" s="1596"/>
      <c r="B84" s="1596"/>
      <c r="C84" s="1596"/>
      <c r="D84" s="1613" t="s">
        <v>119</v>
      </c>
      <c r="E84" s="1611" t="s">
        <v>120</v>
      </c>
      <c r="F84" s="1611"/>
      <c r="G84" s="1611"/>
      <c r="H84" s="1611" t="s">
        <v>121</v>
      </c>
      <c r="I84" s="1611" t="s">
        <v>122</v>
      </c>
      <c r="J84" s="1611" t="s">
        <v>123</v>
      </c>
      <c r="K84" s="1611" t="s">
        <v>124</v>
      </c>
      <c r="L84" s="1611" t="s">
        <v>125</v>
      </c>
      <c r="M84" s="1611" t="s">
        <v>126</v>
      </c>
      <c r="N84" s="1611" t="s">
        <v>183</v>
      </c>
      <c r="O84" s="1611" t="s">
        <v>127</v>
      </c>
    </row>
    <row r="85" spans="1:15" ht="15" hidden="1">
      <c r="A85" s="1596"/>
      <c r="B85" s="1596"/>
      <c r="C85" s="1596"/>
      <c r="D85" s="1613"/>
      <c r="E85" s="1611" t="s">
        <v>36</v>
      </c>
      <c r="F85" s="1611" t="s">
        <v>7</v>
      </c>
      <c r="G85" s="1611"/>
      <c r="H85" s="1611"/>
      <c r="I85" s="1611"/>
      <c r="J85" s="1611"/>
      <c r="K85" s="1611"/>
      <c r="L85" s="1611"/>
      <c r="M85" s="1611"/>
      <c r="N85" s="1611"/>
      <c r="O85" s="1611"/>
    </row>
    <row r="86" spans="1:15" ht="30" hidden="1">
      <c r="A86" s="1596"/>
      <c r="B86" s="1596"/>
      <c r="C86" s="1596"/>
      <c r="D86" s="1613"/>
      <c r="E86" s="1611"/>
      <c r="F86" s="560" t="s">
        <v>128</v>
      </c>
      <c r="G86" s="560" t="s">
        <v>129</v>
      </c>
      <c r="H86" s="1611"/>
      <c r="I86" s="1611"/>
      <c r="J86" s="1611"/>
      <c r="K86" s="1611"/>
      <c r="L86" s="1611"/>
      <c r="M86" s="1611"/>
      <c r="N86" s="1611"/>
      <c r="O86" s="1611"/>
    </row>
    <row r="87" spans="1:15" ht="15" hidden="1">
      <c r="A87" s="1612" t="s">
        <v>39</v>
      </c>
      <c r="B87" s="1612"/>
      <c r="C87" s="517">
        <v>1</v>
      </c>
      <c r="D87" s="517">
        <v>2</v>
      </c>
      <c r="E87" s="517">
        <v>3</v>
      </c>
      <c r="F87" s="517">
        <v>4</v>
      </c>
      <c r="G87" s="517">
        <v>5</v>
      </c>
      <c r="H87" s="517">
        <v>6</v>
      </c>
      <c r="I87" s="517">
        <v>7</v>
      </c>
      <c r="J87" s="517">
        <v>8</v>
      </c>
      <c r="K87" s="517">
        <v>9</v>
      </c>
      <c r="L87" s="517">
        <v>10</v>
      </c>
      <c r="M87" s="517">
        <v>11</v>
      </c>
      <c r="N87" s="517">
        <v>12</v>
      </c>
      <c r="O87" s="517">
        <v>13</v>
      </c>
    </row>
    <row r="88" spans="1:15" ht="15" hidden="1">
      <c r="A88" s="508" t="s">
        <v>0</v>
      </c>
      <c r="B88" s="438" t="s">
        <v>130</v>
      </c>
      <c r="C88" s="791">
        <f aca="true" t="shared" si="30" ref="C88:C94">SUM(D88,E88,H88:O88)</f>
        <v>93</v>
      </c>
      <c r="D88" s="799">
        <f aca="true" t="shared" si="31" ref="D88:O88">SUM(D89:D90)</f>
        <v>62</v>
      </c>
      <c r="E88" s="799">
        <f t="shared" si="31"/>
        <v>11</v>
      </c>
      <c r="F88" s="799">
        <f t="shared" si="31"/>
        <v>0</v>
      </c>
      <c r="G88" s="799">
        <f t="shared" si="31"/>
        <v>11</v>
      </c>
      <c r="H88" s="799">
        <f t="shared" si="31"/>
        <v>0</v>
      </c>
      <c r="I88" s="799">
        <f t="shared" si="31"/>
        <v>20</v>
      </c>
      <c r="J88" s="799">
        <f t="shared" si="31"/>
        <v>0</v>
      </c>
      <c r="K88" s="799">
        <f t="shared" si="31"/>
        <v>0</v>
      </c>
      <c r="L88" s="799">
        <f t="shared" si="31"/>
        <v>0</v>
      </c>
      <c r="M88" s="799">
        <f t="shared" si="31"/>
        <v>0</v>
      </c>
      <c r="N88" s="799">
        <f t="shared" si="31"/>
        <v>0</v>
      </c>
      <c r="O88" s="799">
        <f t="shared" si="31"/>
        <v>0</v>
      </c>
    </row>
    <row r="89" spans="1:15" ht="15.75" hidden="1">
      <c r="A89" s="507">
        <v>1</v>
      </c>
      <c r="B89" s="429" t="s">
        <v>131</v>
      </c>
      <c r="C89" s="822">
        <f t="shared" si="30"/>
        <v>61</v>
      </c>
      <c r="D89" s="975">
        <v>49</v>
      </c>
      <c r="E89" s="823">
        <f>F89+G89</f>
        <v>6</v>
      </c>
      <c r="F89" s="975">
        <v>0</v>
      </c>
      <c r="G89" s="975">
        <v>6</v>
      </c>
      <c r="H89" s="975">
        <v>0</v>
      </c>
      <c r="I89" s="975">
        <v>6</v>
      </c>
      <c r="J89" s="975">
        <v>0</v>
      </c>
      <c r="K89" s="975">
        <v>0</v>
      </c>
      <c r="L89" s="975">
        <v>0</v>
      </c>
      <c r="M89" s="975">
        <v>0</v>
      </c>
      <c r="N89" s="975">
        <v>0</v>
      </c>
      <c r="O89" s="975">
        <v>0</v>
      </c>
    </row>
    <row r="90" spans="1:15" ht="15.75" hidden="1">
      <c r="A90" s="507">
        <v>2</v>
      </c>
      <c r="B90" s="429" t="s">
        <v>132</v>
      </c>
      <c r="C90" s="822">
        <f t="shared" si="30"/>
        <v>32</v>
      </c>
      <c r="D90" s="975">
        <v>13</v>
      </c>
      <c r="E90" s="823">
        <f>F90+G90</f>
        <v>5</v>
      </c>
      <c r="F90" s="975">
        <v>0</v>
      </c>
      <c r="G90" s="975">
        <v>5</v>
      </c>
      <c r="H90" s="975">
        <v>0</v>
      </c>
      <c r="I90" s="975">
        <v>14</v>
      </c>
      <c r="J90" s="975">
        <v>0</v>
      </c>
      <c r="K90" s="975">
        <v>0</v>
      </c>
      <c r="L90" s="975">
        <v>0</v>
      </c>
      <c r="M90" s="975">
        <v>0</v>
      </c>
      <c r="N90" s="975">
        <v>0</v>
      </c>
      <c r="O90" s="975">
        <v>0</v>
      </c>
    </row>
    <row r="91" spans="1:15" ht="0.75" customHeight="1" hidden="1">
      <c r="A91" s="508" t="s">
        <v>1</v>
      </c>
      <c r="B91" s="394" t="s">
        <v>133</v>
      </c>
      <c r="C91" s="822">
        <f t="shared" si="30"/>
        <v>2</v>
      </c>
      <c r="D91" s="975">
        <v>0</v>
      </c>
      <c r="E91" s="823">
        <f>F91+G91</f>
        <v>0</v>
      </c>
      <c r="F91" s="975">
        <v>0</v>
      </c>
      <c r="G91" s="975">
        <v>0</v>
      </c>
      <c r="H91" s="975">
        <v>0</v>
      </c>
      <c r="I91" s="975">
        <v>2</v>
      </c>
      <c r="J91" s="975">
        <v>0</v>
      </c>
      <c r="K91" s="975">
        <v>0</v>
      </c>
      <c r="L91" s="975">
        <v>0</v>
      </c>
      <c r="M91" s="975">
        <v>0</v>
      </c>
      <c r="N91" s="975">
        <v>0</v>
      </c>
      <c r="O91" s="975">
        <v>0</v>
      </c>
    </row>
    <row r="92" spans="1:15" ht="15.75" hidden="1">
      <c r="A92" s="508" t="s">
        <v>9</v>
      </c>
      <c r="B92" s="394" t="s">
        <v>134</v>
      </c>
      <c r="C92" s="822">
        <f t="shared" si="30"/>
        <v>0</v>
      </c>
      <c r="D92" s="975">
        <v>0</v>
      </c>
      <c r="E92" s="823"/>
      <c r="F92" s="975">
        <v>0</v>
      </c>
      <c r="G92" s="975">
        <v>0</v>
      </c>
      <c r="H92" s="975">
        <v>0</v>
      </c>
      <c r="I92" s="975">
        <v>0</v>
      </c>
      <c r="J92" s="975">
        <v>0</v>
      </c>
      <c r="K92" s="975">
        <v>0</v>
      </c>
      <c r="L92" s="975">
        <v>0</v>
      </c>
      <c r="M92" s="975">
        <v>0</v>
      </c>
      <c r="N92" s="975">
        <v>0</v>
      </c>
      <c r="O92" s="975">
        <v>0</v>
      </c>
    </row>
    <row r="93" spans="1:15" ht="15" hidden="1">
      <c r="A93" s="508" t="s">
        <v>135</v>
      </c>
      <c r="B93" s="394" t="s">
        <v>136</v>
      </c>
      <c r="C93" s="824">
        <f t="shared" si="30"/>
        <v>91</v>
      </c>
      <c r="D93" s="824">
        <f>D88-SUM(D91,D92)</f>
        <v>62</v>
      </c>
      <c r="E93" s="825">
        <f aca="true" t="shared" si="32" ref="E93:E99">SUM(F93:G93)</f>
        <v>11</v>
      </c>
      <c r="F93" s="824">
        <f aca="true" t="shared" si="33" ref="F93:O93">F88-SUM(F91,F92)</f>
        <v>0</v>
      </c>
      <c r="G93" s="824">
        <f t="shared" si="33"/>
        <v>11</v>
      </c>
      <c r="H93" s="824">
        <f t="shared" si="33"/>
        <v>0</v>
      </c>
      <c r="I93" s="824">
        <f t="shared" si="33"/>
        <v>18</v>
      </c>
      <c r="J93" s="824">
        <f t="shared" si="33"/>
        <v>0</v>
      </c>
      <c r="K93" s="824">
        <f t="shared" si="33"/>
        <v>0</v>
      </c>
      <c r="L93" s="824">
        <f t="shared" si="33"/>
        <v>0</v>
      </c>
      <c r="M93" s="824">
        <f t="shared" si="33"/>
        <v>0</v>
      </c>
      <c r="N93" s="824">
        <f t="shared" si="33"/>
        <v>0</v>
      </c>
      <c r="O93" s="824">
        <f t="shared" si="33"/>
        <v>0</v>
      </c>
    </row>
    <row r="94" spans="1:15" ht="15" hidden="1">
      <c r="A94" s="508" t="s">
        <v>51</v>
      </c>
      <c r="B94" s="394" t="s">
        <v>137</v>
      </c>
      <c r="C94" s="824">
        <f t="shared" si="30"/>
        <v>52</v>
      </c>
      <c r="D94" s="826">
        <f>SUM(D95:D101)</f>
        <v>35</v>
      </c>
      <c r="E94" s="825">
        <f t="shared" si="32"/>
        <v>4</v>
      </c>
      <c r="F94" s="826">
        <f aca="true" t="shared" si="34" ref="F94:N94">SUM(F95:F101)</f>
        <v>0</v>
      </c>
      <c r="G94" s="826">
        <f t="shared" si="34"/>
        <v>4</v>
      </c>
      <c r="H94" s="826">
        <f t="shared" si="34"/>
        <v>0</v>
      </c>
      <c r="I94" s="826">
        <f t="shared" si="34"/>
        <v>13</v>
      </c>
      <c r="J94" s="826">
        <f t="shared" si="34"/>
        <v>0</v>
      </c>
      <c r="K94" s="826">
        <f t="shared" si="34"/>
        <v>0</v>
      </c>
      <c r="L94" s="826">
        <f t="shared" si="34"/>
        <v>0</v>
      </c>
      <c r="M94" s="826">
        <f t="shared" si="34"/>
        <v>0</v>
      </c>
      <c r="N94" s="826">
        <f t="shared" si="34"/>
        <v>0</v>
      </c>
      <c r="O94" s="826">
        <f>SUM(O95:O101)</f>
        <v>0</v>
      </c>
    </row>
    <row r="95" spans="1:15" ht="15.75" hidden="1">
      <c r="A95" s="507" t="s">
        <v>53</v>
      </c>
      <c r="B95" s="429" t="s">
        <v>138</v>
      </c>
      <c r="C95" s="822">
        <f aca="true" t="shared" si="35" ref="C95:C102">D95+E95+H95+I95+J95+K95+L95+M95+N95+O95</f>
        <v>7</v>
      </c>
      <c r="D95" s="975">
        <v>2</v>
      </c>
      <c r="E95" s="827">
        <f t="shared" si="32"/>
        <v>3</v>
      </c>
      <c r="F95" s="975">
        <v>0</v>
      </c>
      <c r="G95" s="975">
        <v>3</v>
      </c>
      <c r="H95" s="975">
        <v>0</v>
      </c>
      <c r="I95" s="975">
        <v>2</v>
      </c>
      <c r="J95" s="975">
        <v>0</v>
      </c>
      <c r="K95" s="975">
        <v>0</v>
      </c>
      <c r="L95" s="975">
        <v>0</v>
      </c>
      <c r="M95" s="975">
        <v>0</v>
      </c>
      <c r="N95" s="975">
        <v>0</v>
      </c>
      <c r="O95" s="975">
        <v>0</v>
      </c>
    </row>
    <row r="96" spans="1:15" ht="15.75" hidden="1">
      <c r="A96" s="507" t="s">
        <v>54</v>
      </c>
      <c r="B96" s="429" t="s">
        <v>139</v>
      </c>
      <c r="C96" s="822">
        <f t="shared" si="35"/>
        <v>1</v>
      </c>
      <c r="D96" s="975">
        <v>0</v>
      </c>
      <c r="E96" s="827">
        <f t="shared" si="32"/>
        <v>0</v>
      </c>
      <c r="F96" s="975">
        <v>0</v>
      </c>
      <c r="G96" s="975">
        <v>0</v>
      </c>
      <c r="H96" s="975">
        <v>0</v>
      </c>
      <c r="I96" s="975">
        <v>1</v>
      </c>
      <c r="J96" s="975">
        <v>0</v>
      </c>
      <c r="K96" s="975">
        <v>0</v>
      </c>
      <c r="L96" s="975">
        <v>0</v>
      </c>
      <c r="M96" s="975">
        <v>0</v>
      </c>
      <c r="N96" s="975">
        <v>0</v>
      </c>
      <c r="O96" s="975">
        <v>0</v>
      </c>
    </row>
    <row r="97" spans="1:15" ht="15.75" hidden="1">
      <c r="A97" s="507" t="s">
        <v>140</v>
      </c>
      <c r="B97" s="429" t="s">
        <v>141</v>
      </c>
      <c r="C97" s="822">
        <f t="shared" si="35"/>
        <v>42</v>
      </c>
      <c r="D97" s="975">
        <v>31</v>
      </c>
      <c r="E97" s="827">
        <f t="shared" si="32"/>
        <v>1</v>
      </c>
      <c r="F97" s="975">
        <v>0</v>
      </c>
      <c r="G97" s="975">
        <v>1</v>
      </c>
      <c r="H97" s="975">
        <v>0</v>
      </c>
      <c r="I97" s="975">
        <v>10</v>
      </c>
      <c r="J97" s="975">
        <v>0</v>
      </c>
      <c r="K97" s="975">
        <v>0</v>
      </c>
      <c r="L97" s="975">
        <v>0</v>
      </c>
      <c r="M97" s="975">
        <v>0</v>
      </c>
      <c r="N97" s="975">
        <v>0</v>
      </c>
      <c r="O97" s="975">
        <v>0</v>
      </c>
    </row>
    <row r="98" spans="1:15" ht="15.75" hidden="1">
      <c r="A98" s="507" t="s">
        <v>142</v>
      </c>
      <c r="B98" s="429" t="s">
        <v>143</v>
      </c>
      <c r="C98" s="822">
        <f t="shared" si="35"/>
        <v>0</v>
      </c>
      <c r="D98" s="975">
        <v>0</v>
      </c>
      <c r="E98" s="827">
        <f t="shared" si="32"/>
        <v>0</v>
      </c>
      <c r="F98" s="975">
        <v>0</v>
      </c>
      <c r="G98" s="975">
        <v>0</v>
      </c>
      <c r="H98" s="975">
        <v>0</v>
      </c>
      <c r="I98" s="975">
        <v>0</v>
      </c>
      <c r="J98" s="975">
        <v>0</v>
      </c>
      <c r="K98" s="975">
        <v>0</v>
      </c>
      <c r="L98" s="975">
        <v>0</v>
      </c>
      <c r="M98" s="975">
        <v>0</v>
      </c>
      <c r="N98" s="975">
        <v>0</v>
      </c>
      <c r="O98" s="975">
        <v>0</v>
      </c>
    </row>
    <row r="99" spans="1:15" ht="15.75" hidden="1">
      <c r="A99" s="507" t="s">
        <v>144</v>
      </c>
      <c r="B99" s="429" t="s">
        <v>145</v>
      </c>
      <c r="C99" s="822">
        <f t="shared" si="35"/>
        <v>0</v>
      </c>
      <c r="D99" s="975">
        <v>0</v>
      </c>
      <c r="E99" s="827">
        <f t="shared" si="32"/>
        <v>0</v>
      </c>
      <c r="F99" s="975">
        <v>0</v>
      </c>
      <c r="G99" s="975">
        <v>0</v>
      </c>
      <c r="H99" s="975">
        <v>0</v>
      </c>
      <c r="I99" s="975">
        <v>0</v>
      </c>
      <c r="J99" s="975">
        <v>0</v>
      </c>
      <c r="K99" s="975">
        <v>0</v>
      </c>
      <c r="L99" s="975">
        <v>0</v>
      </c>
      <c r="M99" s="975">
        <v>0</v>
      </c>
      <c r="N99" s="975">
        <v>0</v>
      </c>
      <c r="O99" s="975">
        <v>0</v>
      </c>
    </row>
    <row r="100" spans="1:15" ht="25.5" hidden="1">
      <c r="A100" s="507" t="s">
        <v>146</v>
      </c>
      <c r="B100" s="431" t="s">
        <v>147</v>
      </c>
      <c r="C100" s="822">
        <f t="shared" si="35"/>
        <v>0</v>
      </c>
      <c r="D100" s="975">
        <v>0</v>
      </c>
      <c r="E100" s="827">
        <f>SUM(F100:G100)</f>
        <v>0</v>
      </c>
      <c r="F100" s="975">
        <v>0</v>
      </c>
      <c r="G100" s="975">
        <v>0</v>
      </c>
      <c r="H100" s="975">
        <v>0</v>
      </c>
      <c r="I100" s="975">
        <v>0</v>
      </c>
      <c r="J100" s="975">
        <v>0</v>
      </c>
      <c r="K100" s="975">
        <v>0</v>
      </c>
      <c r="L100" s="975">
        <v>0</v>
      </c>
      <c r="M100" s="975">
        <v>0</v>
      </c>
      <c r="N100" s="975">
        <v>0</v>
      </c>
      <c r="O100" s="975">
        <v>0</v>
      </c>
    </row>
    <row r="101" spans="1:15" ht="15.75" hidden="1">
      <c r="A101" s="507" t="s">
        <v>148</v>
      </c>
      <c r="B101" s="429" t="s">
        <v>149</v>
      </c>
      <c r="C101" s="822">
        <f t="shared" si="35"/>
        <v>2</v>
      </c>
      <c r="D101" s="975">
        <v>2</v>
      </c>
      <c r="E101" s="827">
        <f>SUM(F101:G101)</f>
        <v>0</v>
      </c>
      <c r="F101" s="975">
        <v>0</v>
      </c>
      <c r="G101" s="975">
        <v>0</v>
      </c>
      <c r="H101" s="975">
        <v>0</v>
      </c>
      <c r="I101" s="975">
        <v>0</v>
      </c>
      <c r="J101" s="975">
        <v>0</v>
      </c>
      <c r="K101" s="975">
        <v>0</v>
      </c>
      <c r="L101" s="975">
        <v>0</v>
      </c>
      <c r="M101" s="975">
        <v>0</v>
      </c>
      <c r="N101" s="975">
        <v>0</v>
      </c>
      <c r="O101" s="975">
        <v>0</v>
      </c>
    </row>
    <row r="102" spans="1:15" ht="15" customHeight="1" hidden="1">
      <c r="A102" s="508" t="s">
        <v>52</v>
      </c>
      <c r="B102" s="394" t="s">
        <v>150</v>
      </c>
      <c r="C102" s="791">
        <f t="shared" si="35"/>
        <v>39</v>
      </c>
      <c r="D102" s="791">
        <f>D93-D94</f>
        <v>27</v>
      </c>
      <c r="E102" s="799">
        <f>SUM(F102:G102)</f>
        <v>7</v>
      </c>
      <c r="F102" s="791">
        <f>F93-F94</f>
        <v>0</v>
      </c>
      <c r="G102" s="791">
        <f>G93-G94</f>
        <v>7</v>
      </c>
      <c r="H102" s="791">
        <f>H93-H94</f>
        <v>0</v>
      </c>
      <c r="I102" s="791">
        <f aca="true" t="shared" si="36" ref="I102:N102">I93-I94</f>
        <v>5</v>
      </c>
      <c r="J102" s="791">
        <f t="shared" si="36"/>
        <v>0</v>
      </c>
      <c r="K102" s="791">
        <f t="shared" si="36"/>
        <v>0</v>
      </c>
      <c r="L102" s="791">
        <f t="shared" si="36"/>
        <v>0</v>
      </c>
      <c r="M102" s="791">
        <f t="shared" si="36"/>
        <v>0</v>
      </c>
      <c r="N102" s="791">
        <f t="shared" si="36"/>
        <v>0</v>
      </c>
      <c r="O102" s="791">
        <f>O88-O94</f>
        <v>0</v>
      </c>
    </row>
    <row r="103" spans="1:15" ht="25.5" hidden="1">
      <c r="A103" s="509" t="s">
        <v>538</v>
      </c>
      <c r="B103" s="432" t="s">
        <v>151</v>
      </c>
      <c r="C103" s="516">
        <f>(C95+C96)/C94</f>
        <v>0.15384615384615385</v>
      </c>
      <c r="D103" s="516">
        <f aca="true" t="shared" si="37" ref="D103:O103">(D95+D96)/D94</f>
        <v>0.05714285714285714</v>
      </c>
      <c r="E103" s="516">
        <f t="shared" si="37"/>
        <v>0.75</v>
      </c>
      <c r="F103" s="516" t="e">
        <f t="shared" si="37"/>
        <v>#DIV/0!</v>
      </c>
      <c r="G103" s="516">
        <f t="shared" si="37"/>
        <v>0.75</v>
      </c>
      <c r="H103" s="516" t="e">
        <f t="shared" si="37"/>
        <v>#DIV/0!</v>
      </c>
      <c r="I103" s="516">
        <f t="shared" si="37"/>
        <v>0.23076923076923078</v>
      </c>
      <c r="J103" s="516" t="e">
        <f t="shared" si="37"/>
        <v>#DIV/0!</v>
      </c>
      <c r="K103" s="516" t="e">
        <f t="shared" si="37"/>
        <v>#DIV/0!</v>
      </c>
      <c r="L103" s="516" t="e">
        <f t="shared" si="37"/>
        <v>#DIV/0!</v>
      </c>
      <c r="M103" s="516" t="e">
        <f t="shared" si="37"/>
        <v>#DIV/0!</v>
      </c>
      <c r="N103" s="516" t="e">
        <f t="shared" si="37"/>
        <v>#DIV/0!</v>
      </c>
      <c r="O103" s="516" t="e">
        <f t="shared" si="37"/>
        <v>#DIV/0!</v>
      </c>
    </row>
    <row r="104" ht="15" hidden="1"/>
    <row r="105" ht="15" hidden="1">
      <c r="B105" s="920" t="s">
        <v>738</v>
      </c>
    </row>
    <row r="106" spans="1:15" ht="15" hidden="1">
      <c r="A106" s="1596" t="s">
        <v>68</v>
      </c>
      <c r="B106" s="1596"/>
      <c r="C106" s="1596" t="s">
        <v>37</v>
      </c>
      <c r="D106" s="1596" t="s">
        <v>335</v>
      </c>
      <c r="E106" s="1596"/>
      <c r="F106" s="1596"/>
      <c r="G106" s="1596"/>
      <c r="H106" s="1596"/>
      <c r="I106" s="1596"/>
      <c r="J106" s="1596"/>
      <c r="K106" s="1596"/>
      <c r="L106" s="1596"/>
      <c r="M106" s="1596"/>
      <c r="N106" s="1596"/>
      <c r="O106" s="1596"/>
    </row>
    <row r="107" spans="1:15" ht="17.25" customHeight="1" hidden="1">
      <c r="A107" s="1596"/>
      <c r="B107" s="1596"/>
      <c r="C107" s="1596"/>
      <c r="D107" s="1613" t="s">
        <v>119</v>
      </c>
      <c r="E107" s="1611" t="s">
        <v>120</v>
      </c>
      <c r="F107" s="1611"/>
      <c r="G107" s="1611"/>
      <c r="H107" s="1611" t="s">
        <v>121</v>
      </c>
      <c r="I107" s="1611" t="s">
        <v>122</v>
      </c>
      <c r="J107" s="1611" t="s">
        <v>123</v>
      </c>
      <c r="K107" s="1611" t="s">
        <v>124</v>
      </c>
      <c r="L107" s="1611" t="s">
        <v>125</v>
      </c>
      <c r="M107" s="1611" t="s">
        <v>126</v>
      </c>
      <c r="N107" s="1611" t="s">
        <v>183</v>
      </c>
      <c r="O107" s="1611" t="s">
        <v>127</v>
      </c>
    </row>
    <row r="108" spans="1:15" ht="15" hidden="1">
      <c r="A108" s="1596"/>
      <c r="B108" s="1596"/>
      <c r="C108" s="1596"/>
      <c r="D108" s="1613"/>
      <c r="E108" s="1611" t="s">
        <v>36</v>
      </c>
      <c r="F108" s="1611" t="s">
        <v>7</v>
      </c>
      <c r="G108" s="1611"/>
      <c r="H108" s="1611"/>
      <c r="I108" s="1611"/>
      <c r="J108" s="1611"/>
      <c r="K108" s="1611"/>
      <c r="L108" s="1611"/>
      <c r="M108" s="1611"/>
      <c r="N108" s="1611"/>
      <c r="O108" s="1611"/>
    </row>
    <row r="109" spans="1:15" ht="0.75" customHeight="1" hidden="1">
      <c r="A109" s="1596"/>
      <c r="B109" s="1596"/>
      <c r="C109" s="1596"/>
      <c r="D109" s="1613"/>
      <c r="E109" s="1611"/>
      <c r="F109" s="560" t="s">
        <v>128</v>
      </c>
      <c r="G109" s="560" t="s">
        <v>129</v>
      </c>
      <c r="H109" s="1611"/>
      <c r="I109" s="1611"/>
      <c r="J109" s="1611"/>
      <c r="K109" s="1611"/>
      <c r="L109" s="1611"/>
      <c r="M109" s="1611"/>
      <c r="N109" s="1611"/>
      <c r="O109" s="1611"/>
    </row>
    <row r="110" spans="1:15" ht="15" hidden="1">
      <c r="A110" s="1612" t="s">
        <v>39</v>
      </c>
      <c r="B110" s="1612"/>
      <c r="C110" s="517">
        <v>1</v>
      </c>
      <c r="D110" s="517">
        <v>2</v>
      </c>
      <c r="E110" s="517">
        <v>3</v>
      </c>
      <c r="F110" s="517">
        <v>4</v>
      </c>
      <c r="G110" s="517">
        <v>5</v>
      </c>
      <c r="H110" s="517">
        <v>6</v>
      </c>
      <c r="I110" s="517">
        <v>7</v>
      </c>
      <c r="J110" s="517">
        <v>8</v>
      </c>
      <c r="K110" s="517">
        <v>9</v>
      </c>
      <c r="L110" s="517">
        <v>10</v>
      </c>
      <c r="M110" s="517">
        <v>11</v>
      </c>
      <c r="N110" s="517">
        <v>12</v>
      </c>
      <c r="O110" s="517">
        <v>13</v>
      </c>
    </row>
    <row r="111" spans="1:15" ht="15" hidden="1">
      <c r="A111" s="508" t="s">
        <v>0</v>
      </c>
      <c r="B111" s="438" t="s">
        <v>130</v>
      </c>
      <c r="C111" s="791">
        <f aca="true" t="shared" si="38" ref="C111:C117">SUM(D111,E111,H111:O111)</f>
        <v>150</v>
      </c>
      <c r="D111" s="799">
        <f aca="true" t="shared" si="39" ref="D111:O111">SUM(D112:D113)</f>
        <v>87</v>
      </c>
      <c r="E111" s="799">
        <f t="shared" si="39"/>
        <v>26</v>
      </c>
      <c r="F111" s="799">
        <f t="shared" si="39"/>
        <v>0</v>
      </c>
      <c r="G111" s="799">
        <f t="shared" si="39"/>
        <v>26</v>
      </c>
      <c r="H111" s="799">
        <f t="shared" si="39"/>
        <v>0</v>
      </c>
      <c r="I111" s="799">
        <f t="shared" si="39"/>
        <v>37</v>
      </c>
      <c r="J111" s="799">
        <f t="shared" si="39"/>
        <v>0</v>
      </c>
      <c r="K111" s="799">
        <f t="shared" si="39"/>
        <v>0</v>
      </c>
      <c r="L111" s="799">
        <f t="shared" si="39"/>
        <v>0</v>
      </c>
      <c r="M111" s="799">
        <f t="shared" si="39"/>
        <v>0</v>
      </c>
      <c r="N111" s="799">
        <f t="shared" si="39"/>
        <v>0</v>
      </c>
      <c r="O111" s="799">
        <f t="shared" si="39"/>
        <v>0</v>
      </c>
    </row>
    <row r="112" spans="1:15" ht="15" hidden="1">
      <c r="A112" s="507">
        <v>1</v>
      </c>
      <c r="B112" s="429" t="s">
        <v>131</v>
      </c>
      <c r="C112" s="822">
        <f t="shared" si="38"/>
        <v>103</v>
      </c>
      <c r="D112" s="820">
        <v>73</v>
      </c>
      <c r="E112" s="823">
        <f>F112+G112</f>
        <v>12</v>
      </c>
      <c r="F112" s="820">
        <v>0</v>
      </c>
      <c r="G112" s="820">
        <v>12</v>
      </c>
      <c r="H112" s="820">
        <v>0</v>
      </c>
      <c r="I112" s="820">
        <v>18</v>
      </c>
      <c r="J112" s="820">
        <v>0</v>
      </c>
      <c r="K112" s="406">
        <v>0</v>
      </c>
      <c r="L112" s="406">
        <v>0</v>
      </c>
      <c r="M112" s="406">
        <v>0</v>
      </c>
      <c r="N112" s="820">
        <v>0</v>
      </c>
      <c r="O112" s="820">
        <v>0</v>
      </c>
    </row>
    <row r="113" spans="1:15" ht="15" hidden="1">
      <c r="A113" s="507">
        <v>2</v>
      </c>
      <c r="B113" s="429" t="s">
        <v>132</v>
      </c>
      <c r="C113" s="822">
        <f t="shared" si="38"/>
        <v>47</v>
      </c>
      <c r="D113" s="820">
        <v>14</v>
      </c>
      <c r="E113" s="823">
        <f>F113+G113</f>
        <v>14</v>
      </c>
      <c r="F113" s="820">
        <v>0</v>
      </c>
      <c r="G113" s="820">
        <v>14</v>
      </c>
      <c r="H113" s="820">
        <v>0</v>
      </c>
      <c r="I113" s="820">
        <v>19</v>
      </c>
      <c r="J113" s="820">
        <v>0</v>
      </c>
      <c r="K113" s="406">
        <v>0</v>
      </c>
      <c r="L113" s="406">
        <v>0</v>
      </c>
      <c r="M113" s="406">
        <v>0</v>
      </c>
      <c r="N113" s="820">
        <v>0</v>
      </c>
      <c r="O113" s="820">
        <v>0</v>
      </c>
    </row>
    <row r="114" spans="1:15" ht="15" hidden="1">
      <c r="A114" s="508" t="s">
        <v>1</v>
      </c>
      <c r="B114" s="394" t="s">
        <v>133</v>
      </c>
      <c r="C114" s="822">
        <f t="shared" si="38"/>
        <v>1</v>
      </c>
      <c r="D114" s="820"/>
      <c r="E114" s="823">
        <f>F114+G114</f>
        <v>0</v>
      </c>
      <c r="F114" s="820">
        <v>0</v>
      </c>
      <c r="G114" s="820">
        <v>0</v>
      </c>
      <c r="H114" s="820">
        <v>0</v>
      </c>
      <c r="I114" s="820">
        <v>1</v>
      </c>
      <c r="J114" s="820">
        <v>0</v>
      </c>
      <c r="K114" s="406">
        <v>0</v>
      </c>
      <c r="L114" s="406">
        <v>0</v>
      </c>
      <c r="M114" s="406">
        <v>0</v>
      </c>
      <c r="N114" s="406">
        <v>0</v>
      </c>
      <c r="O114" s="406">
        <v>0</v>
      </c>
    </row>
    <row r="115" spans="1:15" ht="15" hidden="1">
      <c r="A115" s="508" t="s">
        <v>9</v>
      </c>
      <c r="B115" s="394" t="s">
        <v>134</v>
      </c>
      <c r="C115" s="822">
        <f t="shared" si="38"/>
        <v>0</v>
      </c>
      <c r="D115" s="821"/>
      <c r="E115" s="823"/>
      <c r="F115" s="821"/>
      <c r="G115" s="821"/>
      <c r="H115" s="821"/>
      <c r="I115" s="821"/>
      <c r="J115" s="821"/>
      <c r="K115" s="821"/>
      <c r="L115" s="821"/>
      <c r="M115" s="821"/>
      <c r="N115" s="821"/>
      <c r="O115" s="821"/>
    </row>
    <row r="116" spans="1:15" ht="15" hidden="1">
      <c r="A116" s="508" t="s">
        <v>135</v>
      </c>
      <c r="B116" s="394" t="s">
        <v>136</v>
      </c>
      <c r="C116" s="824">
        <f t="shared" si="38"/>
        <v>149</v>
      </c>
      <c r="D116" s="824">
        <f>D111-SUM(D114,D115)</f>
        <v>87</v>
      </c>
      <c r="E116" s="825">
        <f aca="true" t="shared" si="40" ref="E116:E122">SUM(F116:G116)</f>
        <v>26</v>
      </c>
      <c r="F116" s="824">
        <f aca="true" t="shared" si="41" ref="F116:O116">F111-SUM(F114,F115)</f>
        <v>0</v>
      </c>
      <c r="G116" s="824">
        <f t="shared" si="41"/>
        <v>26</v>
      </c>
      <c r="H116" s="824">
        <f t="shared" si="41"/>
        <v>0</v>
      </c>
      <c r="I116" s="824">
        <f t="shared" si="41"/>
        <v>36</v>
      </c>
      <c r="J116" s="824">
        <f t="shared" si="41"/>
        <v>0</v>
      </c>
      <c r="K116" s="824">
        <f t="shared" si="41"/>
        <v>0</v>
      </c>
      <c r="L116" s="824">
        <f t="shared" si="41"/>
        <v>0</v>
      </c>
      <c r="M116" s="824">
        <f t="shared" si="41"/>
        <v>0</v>
      </c>
      <c r="N116" s="824">
        <f t="shared" si="41"/>
        <v>0</v>
      </c>
      <c r="O116" s="824">
        <f t="shared" si="41"/>
        <v>0</v>
      </c>
    </row>
    <row r="117" spans="1:15" ht="15" hidden="1">
      <c r="A117" s="508" t="s">
        <v>51</v>
      </c>
      <c r="B117" s="394" t="s">
        <v>137</v>
      </c>
      <c r="C117" s="824">
        <f t="shared" si="38"/>
        <v>86</v>
      </c>
      <c r="D117" s="826">
        <f>SUM(D118:D124)</f>
        <v>47</v>
      </c>
      <c r="E117" s="825">
        <f t="shared" si="40"/>
        <v>9</v>
      </c>
      <c r="F117" s="826">
        <f aca="true" t="shared" si="42" ref="F117:N117">SUM(F118:F124)</f>
        <v>0</v>
      </c>
      <c r="G117" s="826">
        <f t="shared" si="42"/>
        <v>9</v>
      </c>
      <c r="H117" s="826">
        <f t="shared" si="42"/>
        <v>0</v>
      </c>
      <c r="I117" s="826">
        <f t="shared" si="42"/>
        <v>30</v>
      </c>
      <c r="J117" s="826">
        <f t="shared" si="42"/>
        <v>0</v>
      </c>
      <c r="K117" s="826">
        <f t="shared" si="42"/>
        <v>0</v>
      </c>
      <c r="L117" s="826">
        <f t="shared" si="42"/>
        <v>0</v>
      </c>
      <c r="M117" s="826">
        <f t="shared" si="42"/>
        <v>0</v>
      </c>
      <c r="N117" s="826">
        <f t="shared" si="42"/>
        <v>0</v>
      </c>
      <c r="O117" s="826">
        <f>SUM(O118:O124)</f>
        <v>0</v>
      </c>
    </row>
    <row r="118" spans="1:15" ht="15" hidden="1">
      <c r="A118" s="507" t="s">
        <v>53</v>
      </c>
      <c r="B118" s="429" t="s">
        <v>138</v>
      </c>
      <c r="C118" s="822">
        <f aca="true" t="shared" si="43" ref="C118:C125">D118+E118+H118+I118+J118+K118+L118+M118+N118+O118</f>
        <v>31</v>
      </c>
      <c r="D118" s="820">
        <v>9</v>
      </c>
      <c r="E118" s="1117">
        <f t="shared" si="40"/>
        <v>5</v>
      </c>
      <c r="F118" s="820">
        <v>0</v>
      </c>
      <c r="G118" s="820">
        <v>5</v>
      </c>
      <c r="H118" s="820">
        <v>0</v>
      </c>
      <c r="I118" s="820">
        <v>17</v>
      </c>
      <c r="J118" s="820">
        <v>0</v>
      </c>
      <c r="K118" s="406">
        <v>0</v>
      </c>
      <c r="L118" s="406">
        <v>0</v>
      </c>
      <c r="M118" s="820">
        <v>0</v>
      </c>
      <c r="N118" s="820">
        <v>0</v>
      </c>
      <c r="O118" s="820">
        <v>0</v>
      </c>
    </row>
    <row r="119" spans="1:15" ht="15" hidden="1">
      <c r="A119" s="507" t="s">
        <v>54</v>
      </c>
      <c r="B119" s="429" t="s">
        <v>139</v>
      </c>
      <c r="C119" s="822">
        <f t="shared" si="43"/>
        <v>1</v>
      </c>
      <c r="D119" s="820">
        <v>0</v>
      </c>
      <c r="E119" s="827">
        <f t="shared" si="40"/>
        <v>0</v>
      </c>
      <c r="F119" s="820">
        <v>0</v>
      </c>
      <c r="G119" s="820">
        <v>0</v>
      </c>
      <c r="H119" s="820">
        <v>0</v>
      </c>
      <c r="I119" s="820">
        <v>1</v>
      </c>
      <c r="J119" s="820">
        <v>0</v>
      </c>
      <c r="K119" s="406">
        <v>0</v>
      </c>
      <c r="L119" s="406">
        <v>0</v>
      </c>
      <c r="M119" s="820">
        <v>0</v>
      </c>
      <c r="N119" s="820">
        <v>0</v>
      </c>
      <c r="O119" s="820">
        <v>0</v>
      </c>
    </row>
    <row r="120" spans="1:15" ht="18" customHeight="1" hidden="1">
      <c r="A120" s="507" t="s">
        <v>140</v>
      </c>
      <c r="B120" s="429" t="s">
        <v>141</v>
      </c>
      <c r="C120" s="822">
        <f t="shared" si="43"/>
        <v>49</v>
      </c>
      <c r="D120" s="820">
        <v>34</v>
      </c>
      <c r="E120" s="827">
        <f t="shared" si="40"/>
        <v>3</v>
      </c>
      <c r="F120" s="820">
        <v>0</v>
      </c>
      <c r="G120" s="820">
        <v>3</v>
      </c>
      <c r="H120" s="820">
        <v>0</v>
      </c>
      <c r="I120" s="820">
        <v>12</v>
      </c>
      <c r="J120" s="820">
        <v>0</v>
      </c>
      <c r="K120" s="406">
        <v>0</v>
      </c>
      <c r="L120" s="406">
        <v>0</v>
      </c>
      <c r="M120" s="820">
        <v>0</v>
      </c>
      <c r="N120" s="820">
        <v>0</v>
      </c>
      <c r="O120" s="820">
        <v>0</v>
      </c>
    </row>
    <row r="121" spans="1:15" ht="12.75" customHeight="1" hidden="1">
      <c r="A121" s="507" t="s">
        <v>142</v>
      </c>
      <c r="B121" s="429" t="s">
        <v>143</v>
      </c>
      <c r="C121" s="822">
        <f t="shared" si="43"/>
        <v>3</v>
      </c>
      <c r="D121" s="820">
        <v>3</v>
      </c>
      <c r="E121" s="827">
        <f t="shared" si="40"/>
        <v>0</v>
      </c>
      <c r="F121" s="820">
        <v>0</v>
      </c>
      <c r="G121" s="820">
        <v>0</v>
      </c>
      <c r="H121" s="820">
        <v>0</v>
      </c>
      <c r="I121" s="820">
        <v>0</v>
      </c>
      <c r="J121" s="820">
        <v>0</v>
      </c>
      <c r="K121" s="406">
        <v>0</v>
      </c>
      <c r="L121" s="406">
        <v>0</v>
      </c>
      <c r="M121" s="406">
        <v>0</v>
      </c>
      <c r="N121" s="406">
        <v>0</v>
      </c>
      <c r="O121" s="406">
        <v>0</v>
      </c>
    </row>
    <row r="122" spans="1:15" ht="15" hidden="1">
      <c r="A122" s="507" t="s">
        <v>144</v>
      </c>
      <c r="B122" s="429" t="s">
        <v>145</v>
      </c>
      <c r="C122" s="822">
        <f t="shared" si="43"/>
        <v>0</v>
      </c>
      <c r="D122" s="820">
        <v>0</v>
      </c>
      <c r="E122" s="827">
        <f t="shared" si="40"/>
        <v>0</v>
      </c>
      <c r="F122" s="820">
        <v>0</v>
      </c>
      <c r="G122" s="820">
        <v>0</v>
      </c>
      <c r="H122" s="820">
        <v>0</v>
      </c>
      <c r="I122" s="820">
        <v>0</v>
      </c>
      <c r="J122" s="820">
        <v>0</v>
      </c>
      <c r="K122" s="406">
        <v>0</v>
      </c>
      <c r="L122" s="406">
        <v>0</v>
      </c>
      <c r="M122" s="406">
        <v>0</v>
      </c>
      <c r="N122" s="406">
        <v>0</v>
      </c>
      <c r="O122" s="406">
        <v>0</v>
      </c>
    </row>
    <row r="123" spans="1:15" ht="0.75" customHeight="1" hidden="1">
      <c r="A123" s="507" t="s">
        <v>146</v>
      </c>
      <c r="B123" s="431" t="s">
        <v>147</v>
      </c>
      <c r="C123" s="822">
        <f t="shared" si="43"/>
        <v>0</v>
      </c>
      <c r="D123" s="820">
        <v>0</v>
      </c>
      <c r="E123" s="827">
        <f>SUM(F123:G123)</f>
        <v>0</v>
      </c>
      <c r="F123" s="820">
        <v>0</v>
      </c>
      <c r="G123" s="820">
        <v>0</v>
      </c>
      <c r="H123" s="820">
        <v>0</v>
      </c>
      <c r="I123" s="820">
        <v>0</v>
      </c>
      <c r="J123" s="820">
        <v>0</v>
      </c>
      <c r="K123" s="406">
        <v>0</v>
      </c>
      <c r="L123" s="406">
        <v>0</v>
      </c>
      <c r="M123" s="406">
        <v>0</v>
      </c>
      <c r="N123" s="406">
        <v>0</v>
      </c>
      <c r="O123" s="406">
        <v>0</v>
      </c>
    </row>
    <row r="124" spans="1:15" ht="15" hidden="1">
      <c r="A124" s="507" t="s">
        <v>148</v>
      </c>
      <c r="B124" s="429" t="s">
        <v>149</v>
      </c>
      <c r="C124" s="822">
        <f t="shared" si="43"/>
        <v>2</v>
      </c>
      <c r="D124" s="820">
        <v>1</v>
      </c>
      <c r="E124" s="827">
        <f>SUM(F124:G124)</f>
        <v>1</v>
      </c>
      <c r="F124" s="820">
        <v>0</v>
      </c>
      <c r="G124" s="820">
        <v>1</v>
      </c>
      <c r="H124" s="820">
        <v>0</v>
      </c>
      <c r="I124" s="820">
        <v>0</v>
      </c>
      <c r="J124" s="820">
        <v>0</v>
      </c>
      <c r="K124" s="406">
        <v>0</v>
      </c>
      <c r="L124" s="406">
        <v>0</v>
      </c>
      <c r="M124" s="406">
        <v>0</v>
      </c>
      <c r="N124" s="406">
        <v>0</v>
      </c>
      <c r="O124" s="406">
        <v>0</v>
      </c>
    </row>
    <row r="125" spans="1:15" ht="15" hidden="1">
      <c r="A125" s="508" t="s">
        <v>52</v>
      </c>
      <c r="B125" s="394" t="s">
        <v>150</v>
      </c>
      <c r="C125" s="791">
        <f t="shared" si="43"/>
        <v>63</v>
      </c>
      <c r="D125" s="791">
        <f>D116-D117</f>
        <v>40</v>
      </c>
      <c r="E125" s="799">
        <f>SUM(F125:G125)</f>
        <v>17</v>
      </c>
      <c r="F125" s="791">
        <f>F116-F117</f>
        <v>0</v>
      </c>
      <c r="G125" s="791">
        <f>G116-G117</f>
        <v>17</v>
      </c>
      <c r="H125" s="791">
        <f>H116-H117</f>
        <v>0</v>
      </c>
      <c r="I125" s="791">
        <f aca="true" t="shared" si="44" ref="I125:N125">I116-I117</f>
        <v>6</v>
      </c>
      <c r="J125" s="791">
        <f t="shared" si="44"/>
        <v>0</v>
      </c>
      <c r="K125" s="791">
        <f t="shared" si="44"/>
        <v>0</v>
      </c>
      <c r="L125" s="791">
        <f t="shared" si="44"/>
        <v>0</v>
      </c>
      <c r="M125" s="791">
        <f t="shared" si="44"/>
        <v>0</v>
      </c>
      <c r="N125" s="791">
        <f t="shared" si="44"/>
        <v>0</v>
      </c>
      <c r="O125" s="791">
        <f>O111-O117</f>
        <v>0</v>
      </c>
    </row>
    <row r="126" spans="1:15" ht="38.25">
      <c r="A126" s="509" t="s">
        <v>538</v>
      </c>
      <c r="B126" s="432" t="s">
        <v>151</v>
      </c>
      <c r="C126" s="516">
        <f>(C118+C119)/C117</f>
        <v>0.37209302325581395</v>
      </c>
      <c r="D126" s="516">
        <f aca="true" t="shared" si="45" ref="D126:O126">(D118+D119)/D117</f>
        <v>0.19148936170212766</v>
      </c>
      <c r="E126" s="516">
        <f t="shared" si="45"/>
        <v>0.5555555555555556</v>
      </c>
      <c r="F126" s="516" t="e">
        <f t="shared" si="45"/>
        <v>#DIV/0!</v>
      </c>
      <c r="G126" s="516">
        <f t="shared" si="45"/>
        <v>0.5555555555555556</v>
      </c>
      <c r="H126" s="516" t="e">
        <f t="shared" si="45"/>
        <v>#DIV/0!</v>
      </c>
      <c r="I126" s="516">
        <f t="shared" si="45"/>
        <v>0.6</v>
      </c>
      <c r="J126" s="516" t="e">
        <f t="shared" si="45"/>
        <v>#DIV/0!</v>
      </c>
      <c r="K126" s="516" t="e">
        <f t="shared" si="45"/>
        <v>#DIV/0!</v>
      </c>
      <c r="L126" s="516" t="e">
        <f t="shared" si="45"/>
        <v>#DIV/0!</v>
      </c>
      <c r="M126" s="516" t="e">
        <f t="shared" si="45"/>
        <v>#DIV/0!</v>
      </c>
      <c r="N126" s="516" t="e">
        <f t="shared" si="45"/>
        <v>#DIV/0!</v>
      </c>
      <c r="O126" s="516" t="e">
        <f t="shared" si="45"/>
        <v>#DIV/0!</v>
      </c>
    </row>
    <row r="127" ht="28.5" customHeight="1"/>
    <row r="128" ht="15" hidden="1">
      <c r="B128" s="920" t="s">
        <v>739</v>
      </c>
    </row>
    <row r="129" spans="1:15" ht="15" hidden="1">
      <c r="A129" s="1596" t="s">
        <v>68</v>
      </c>
      <c r="B129" s="1596"/>
      <c r="C129" s="1596" t="s">
        <v>37</v>
      </c>
      <c r="D129" s="1596" t="s">
        <v>335</v>
      </c>
      <c r="E129" s="1596"/>
      <c r="F129" s="1596"/>
      <c r="G129" s="1596"/>
      <c r="H129" s="1596"/>
      <c r="I129" s="1596"/>
      <c r="J129" s="1596"/>
      <c r="K129" s="1596"/>
      <c r="L129" s="1596"/>
      <c r="M129" s="1596"/>
      <c r="N129" s="1596"/>
      <c r="O129" s="1596"/>
    </row>
    <row r="130" spans="1:15" ht="15" hidden="1">
      <c r="A130" s="1596"/>
      <c r="B130" s="1596"/>
      <c r="C130" s="1596"/>
      <c r="D130" s="1613" t="s">
        <v>119</v>
      </c>
      <c r="E130" s="1611" t="s">
        <v>120</v>
      </c>
      <c r="F130" s="1611"/>
      <c r="G130" s="1611"/>
      <c r="H130" s="1611" t="s">
        <v>121</v>
      </c>
      <c r="I130" s="1611" t="s">
        <v>122</v>
      </c>
      <c r="J130" s="1611" t="s">
        <v>123</v>
      </c>
      <c r="K130" s="1611" t="s">
        <v>124</v>
      </c>
      <c r="L130" s="1611" t="s">
        <v>125</v>
      </c>
      <c r="M130" s="1611" t="s">
        <v>126</v>
      </c>
      <c r="N130" s="1611" t="s">
        <v>183</v>
      </c>
      <c r="O130" s="1611" t="s">
        <v>127</v>
      </c>
    </row>
    <row r="131" spans="1:15" ht="15" hidden="1">
      <c r="A131" s="1596"/>
      <c r="B131" s="1596"/>
      <c r="C131" s="1596"/>
      <c r="D131" s="1613"/>
      <c r="E131" s="1611" t="s">
        <v>36</v>
      </c>
      <c r="F131" s="1611" t="s">
        <v>7</v>
      </c>
      <c r="G131" s="1611"/>
      <c r="H131" s="1611"/>
      <c r="I131" s="1611"/>
      <c r="J131" s="1611"/>
      <c r="K131" s="1611"/>
      <c r="L131" s="1611"/>
      <c r="M131" s="1611"/>
      <c r="N131" s="1611"/>
      <c r="O131" s="1611"/>
    </row>
    <row r="132" spans="1:15" ht="30" hidden="1">
      <c r="A132" s="1596"/>
      <c r="B132" s="1596"/>
      <c r="C132" s="1596"/>
      <c r="D132" s="1613"/>
      <c r="E132" s="1611"/>
      <c r="F132" s="560" t="s">
        <v>128</v>
      </c>
      <c r="G132" s="560" t="s">
        <v>129</v>
      </c>
      <c r="H132" s="1611"/>
      <c r="I132" s="1611"/>
      <c r="J132" s="1611"/>
      <c r="K132" s="1611"/>
      <c r="L132" s="1611"/>
      <c r="M132" s="1611"/>
      <c r="N132" s="1611"/>
      <c r="O132" s="1611"/>
    </row>
    <row r="133" spans="1:15" ht="18" customHeight="1" hidden="1">
      <c r="A133" s="1612" t="s">
        <v>39</v>
      </c>
      <c r="B133" s="1612"/>
      <c r="C133" s="517">
        <v>1</v>
      </c>
      <c r="D133" s="517">
        <v>2</v>
      </c>
      <c r="E133" s="517">
        <v>3</v>
      </c>
      <c r="F133" s="517">
        <v>4</v>
      </c>
      <c r="G133" s="517">
        <v>5</v>
      </c>
      <c r="H133" s="517">
        <v>6</v>
      </c>
      <c r="I133" s="517">
        <v>7</v>
      </c>
      <c r="J133" s="517">
        <v>8</v>
      </c>
      <c r="K133" s="517">
        <v>9</v>
      </c>
      <c r="L133" s="517">
        <v>10</v>
      </c>
      <c r="M133" s="517">
        <v>11</v>
      </c>
      <c r="N133" s="517">
        <v>12</v>
      </c>
      <c r="O133" s="517">
        <v>13</v>
      </c>
    </row>
    <row r="134" spans="1:15" ht="20.25" customHeight="1" hidden="1">
      <c r="A134" s="508" t="s">
        <v>0</v>
      </c>
      <c r="B134" s="438" t="s">
        <v>130</v>
      </c>
      <c r="C134" s="791">
        <f aca="true" t="shared" si="46" ref="C134:C140">SUM(D134,E134,H134:O134)</f>
        <v>82</v>
      </c>
      <c r="D134" s="799">
        <f aca="true" t="shared" si="47" ref="D134:O134">SUM(D135:D136)</f>
        <v>46</v>
      </c>
      <c r="E134" s="799">
        <f t="shared" si="47"/>
        <v>10</v>
      </c>
      <c r="F134" s="799">
        <f t="shared" si="47"/>
        <v>0</v>
      </c>
      <c r="G134" s="799">
        <f t="shared" si="47"/>
        <v>10</v>
      </c>
      <c r="H134" s="799">
        <f t="shared" si="47"/>
        <v>0</v>
      </c>
      <c r="I134" s="799">
        <f t="shared" si="47"/>
        <v>24</v>
      </c>
      <c r="J134" s="799">
        <f t="shared" si="47"/>
        <v>2</v>
      </c>
      <c r="K134" s="799">
        <f t="shared" si="47"/>
        <v>0</v>
      </c>
      <c r="L134" s="799">
        <f t="shared" si="47"/>
        <v>0</v>
      </c>
      <c r="M134" s="799">
        <f t="shared" si="47"/>
        <v>0</v>
      </c>
      <c r="N134" s="799">
        <f t="shared" si="47"/>
        <v>0</v>
      </c>
      <c r="O134" s="799">
        <f t="shared" si="47"/>
        <v>0</v>
      </c>
    </row>
    <row r="135" spans="1:15" ht="17.25" customHeight="1" hidden="1">
      <c r="A135" s="507">
        <v>1</v>
      </c>
      <c r="B135" s="429" t="s">
        <v>131</v>
      </c>
      <c r="C135" s="822">
        <f t="shared" si="46"/>
        <v>43</v>
      </c>
      <c r="D135" s="870">
        <v>26</v>
      </c>
      <c r="E135" s="823">
        <f>F135+G135</f>
        <v>6</v>
      </c>
      <c r="F135" s="870"/>
      <c r="G135" s="870">
        <v>6</v>
      </c>
      <c r="H135" s="870"/>
      <c r="I135" s="1136">
        <v>9</v>
      </c>
      <c r="J135" s="1136">
        <v>2</v>
      </c>
      <c r="K135" s="870"/>
      <c r="L135" s="870"/>
      <c r="M135" s="1109"/>
      <c r="N135" s="872"/>
      <c r="O135" s="872"/>
    </row>
    <row r="136" spans="1:15" ht="11.25" customHeight="1" hidden="1">
      <c r="A136" s="507">
        <v>2</v>
      </c>
      <c r="B136" s="429" t="s">
        <v>132</v>
      </c>
      <c r="C136" s="822">
        <f t="shared" si="46"/>
        <v>39</v>
      </c>
      <c r="D136" s="870">
        <v>20</v>
      </c>
      <c r="E136" s="823">
        <f>F136+G136</f>
        <v>4</v>
      </c>
      <c r="F136" s="870"/>
      <c r="G136" s="870">
        <v>4</v>
      </c>
      <c r="H136" s="870"/>
      <c r="I136" s="870">
        <v>15</v>
      </c>
      <c r="J136" s="870"/>
      <c r="K136" s="870"/>
      <c r="L136" s="870"/>
      <c r="M136" s="1109"/>
      <c r="N136" s="872"/>
      <c r="O136" s="872"/>
    </row>
    <row r="137" spans="1:15" ht="15" hidden="1">
      <c r="A137" s="508" t="s">
        <v>1</v>
      </c>
      <c r="B137" s="394" t="s">
        <v>133</v>
      </c>
      <c r="C137" s="822">
        <f t="shared" si="46"/>
        <v>0</v>
      </c>
      <c r="D137" s="871"/>
      <c r="E137" s="823">
        <f>F137+G137</f>
        <v>0</v>
      </c>
      <c r="F137" s="872"/>
      <c r="G137" s="872"/>
      <c r="H137" s="872"/>
      <c r="I137" s="872"/>
      <c r="J137" s="872"/>
      <c r="K137" s="872"/>
      <c r="L137" s="872"/>
      <c r="M137" s="872"/>
      <c r="N137" s="872"/>
      <c r="O137" s="872"/>
    </row>
    <row r="138" spans="1:15" ht="15" customHeight="1" hidden="1">
      <c r="A138" s="508" t="s">
        <v>9</v>
      </c>
      <c r="B138" s="394" t="s">
        <v>134</v>
      </c>
      <c r="C138" s="822">
        <f t="shared" si="46"/>
        <v>0</v>
      </c>
      <c r="D138" s="871"/>
      <c r="E138" s="823"/>
      <c r="F138" s="871"/>
      <c r="G138" s="871"/>
      <c r="H138" s="871"/>
      <c r="I138" s="871"/>
      <c r="J138" s="871"/>
      <c r="K138" s="871"/>
      <c r="L138" s="871"/>
      <c r="M138" s="871"/>
      <c r="N138" s="872"/>
      <c r="O138" s="872"/>
    </row>
    <row r="139" spans="1:15" ht="15" hidden="1">
      <c r="A139" s="508" t="s">
        <v>135</v>
      </c>
      <c r="B139" s="394" t="s">
        <v>136</v>
      </c>
      <c r="C139" s="824">
        <f t="shared" si="46"/>
        <v>82</v>
      </c>
      <c r="D139" s="824">
        <f>D134-SUM(D137,D138)</f>
        <v>46</v>
      </c>
      <c r="E139" s="825">
        <f aca="true" t="shared" si="48" ref="E139:E145">SUM(F139:G139)</f>
        <v>10</v>
      </c>
      <c r="F139" s="824">
        <f aca="true" t="shared" si="49" ref="F139:O139">F134-SUM(F137,F138)</f>
        <v>0</v>
      </c>
      <c r="G139" s="824">
        <f t="shared" si="49"/>
        <v>10</v>
      </c>
      <c r="H139" s="824">
        <f t="shared" si="49"/>
        <v>0</v>
      </c>
      <c r="I139" s="824">
        <f t="shared" si="49"/>
        <v>24</v>
      </c>
      <c r="J139" s="824">
        <f t="shared" si="49"/>
        <v>2</v>
      </c>
      <c r="K139" s="824">
        <f t="shared" si="49"/>
        <v>0</v>
      </c>
      <c r="L139" s="824">
        <f t="shared" si="49"/>
        <v>0</v>
      </c>
      <c r="M139" s="824">
        <f t="shared" si="49"/>
        <v>0</v>
      </c>
      <c r="N139" s="824">
        <f t="shared" si="49"/>
        <v>0</v>
      </c>
      <c r="O139" s="824">
        <f t="shared" si="49"/>
        <v>0</v>
      </c>
    </row>
    <row r="140" spans="1:15" ht="15" hidden="1">
      <c r="A140" s="508" t="s">
        <v>51</v>
      </c>
      <c r="B140" s="394" t="s">
        <v>137</v>
      </c>
      <c r="C140" s="824">
        <f t="shared" si="46"/>
        <v>51</v>
      </c>
      <c r="D140" s="826">
        <f>SUM(D141:D147)</f>
        <v>32</v>
      </c>
      <c r="E140" s="825">
        <f t="shared" si="48"/>
        <v>1</v>
      </c>
      <c r="F140" s="826">
        <f aca="true" t="shared" si="50" ref="F140:N140">SUM(F141:F147)</f>
        <v>0</v>
      </c>
      <c r="G140" s="826">
        <f t="shared" si="50"/>
        <v>1</v>
      </c>
      <c r="H140" s="826">
        <f t="shared" si="50"/>
        <v>0</v>
      </c>
      <c r="I140" s="826">
        <f t="shared" si="50"/>
        <v>17</v>
      </c>
      <c r="J140" s="826">
        <f t="shared" si="50"/>
        <v>1</v>
      </c>
      <c r="K140" s="826">
        <f t="shared" si="50"/>
        <v>0</v>
      </c>
      <c r="L140" s="826">
        <f t="shared" si="50"/>
        <v>0</v>
      </c>
      <c r="M140" s="826">
        <f t="shared" si="50"/>
        <v>0</v>
      </c>
      <c r="N140" s="826">
        <f t="shared" si="50"/>
        <v>0</v>
      </c>
      <c r="O140" s="826">
        <f>SUM(O141:O147)</f>
        <v>0</v>
      </c>
    </row>
    <row r="141" spans="1:15" ht="15" hidden="1">
      <c r="A141" s="507" t="s">
        <v>53</v>
      </c>
      <c r="B141" s="429" t="s">
        <v>138</v>
      </c>
      <c r="C141" s="822">
        <f aca="true" t="shared" si="51" ref="C141:D148">D141+E141+H141+I141+J141+K141+L141+M141+N141+O141</f>
        <v>21</v>
      </c>
      <c r="D141" s="873">
        <v>13</v>
      </c>
      <c r="E141" s="827">
        <f t="shared" si="48"/>
        <v>1</v>
      </c>
      <c r="F141" s="873"/>
      <c r="G141" s="873">
        <v>1</v>
      </c>
      <c r="H141" s="873"/>
      <c r="I141" s="873">
        <v>6</v>
      </c>
      <c r="J141" s="873">
        <v>1</v>
      </c>
      <c r="K141" s="873"/>
      <c r="L141" s="873"/>
      <c r="M141" s="873"/>
      <c r="N141" s="872"/>
      <c r="O141" s="872"/>
    </row>
    <row r="142" spans="1:15" ht="15" hidden="1">
      <c r="A142" s="507" t="s">
        <v>54</v>
      </c>
      <c r="B142" s="429" t="s">
        <v>139</v>
      </c>
      <c r="C142" s="822">
        <f t="shared" si="51"/>
        <v>1</v>
      </c>
      <c r="D142" s="873">
        <v>1</v>
      </c>
      <c r="E142" s="827">
        <f t="shared" si="48"/>
        <v>0</v>
      </c>
      <c r="F142" s="873"/>
      <c r="G142" s="873"/>
      <c r="H142" s="873"/>
      <c r="I142" s="873"/>
      <c r="J142" s="873"/>
      <c r="K142" s="873"/>
      <c r="L142" s="873"/>
      <c r="M142" s="873"/>
      <c r="N142" s="872"/>
      <c r="O142" s="872"/>
    </row>
    <row r="143" spans="1:15" ht="16.5" customHeight="1" hidden="1">
      <c r="A143" s="507" t="s">
        <v>140</v>
      </c>
      <c r="B143" s="429" t="s">
        <v>141</v>
      </c>
      <c r="C143" s="822">
        <f t="shared" si="51"/>
        <v>28</v>
      </c>
      <c r="D143" s="873">
        <v>17</v>
      </c>
      <c r="E143" s="827">
        <f t="shared" si="48"/>
        <v>0</v>
      </c>
      <c r="F143" s="873"/>
      <c r="G143" s="873">
        <v>0</v>
      </c>
      <c r="H143" s="873"/>
      <c r="I143" s="873">
        <v>11</v>
      </c>
      <c r="J143" s="873"/>
      <c r="K143" s="873"/>
      <c r="L143" s="873"/>
      <c r="M143" s="873"/>
      <c r="N143" s="872"/>
      <c r="O143" s="872"/>
    </row>
    <row r="144" spans="1:15" ht="15" hidden="1">
      <c r="A144" s="507" t="s">
        <v>142</v>
      </c>
      <c r="B144" s="429" t="s">
        <v>143</v>
      </c>
      <c r="C144" s="822">
        <f t="shared" si="51"/>
        <v>1</v>
      </c>
      <c r="D144" s="873">
        <v>1</v>
      </c>
      <c r="E144" s="827">
        <f t="shared" si="48"/>
        <v>0</v>
      </c>
      <c r="F144" s="871"/>
      <c r="G144" s="871"/>
      <c r="H144" s="871"/>
      <c r="I144" s="871"/>
      <c r="J144" s="871"/>
      <c r="K144" s="871"/>
      <c r="L144" s="871"/>
      <c r="M144" s="871"/>
      <c r="N144" s="872"/>
      <c r="O144" s="872"/>
    </row>
    <row r="145" spans="1:15" ht="15" hidden="1">
      <c r="A145" s="507" t="s">
        <v>144</v>
      </c>
      <c r="B145" s="429" t="s">
        <v>145</v>
      </c>
      <c r="C145" s="822">
        <f t="shared" si="51"/>
        <v>0</v>
      </c>
      <c r="D145" s="873"/>
      <c r="E145" s="827">
        <f t="shared" si="48"/>
        <v>0</v>
      </c>
      <c r="F145" s="873"/>
      <c r="G145" s="873"/>
      <c r="H145" s="873"/>
      <c r="I145" s="873"/>
      <c r="J145" s="873"/>
      <c r="K145" s="873"/>
      <c r="L145" s="873"/>
      <c r="M145" s="873"/>
      <c r="N145" s="872"/>
      <c r="O145" s="872"/>
    </row>
    <row r="146" spans="1:15" ht="25.5" hidden="1">
      <c r="A146" s="507" t="s">
        <v>146</v>
      </c>
      <c r="B146" s="431" t="s">
        <v>147</v>
      </c>
      <c r="C146" s="822">
        <f t="shared" si="51"/>
        <v>0</v>
      </c>
      <c r="D146" s="940"/>
      <c r="E146" s="827">
        <f>SUM(F146:G146)</f>
        <v>0</v>
      </c>
      <c r="F146" s="873"/>
      <c r="G146" s="873"/>
      <c r="H146" s="873"/>
      <c r="I146" s="873"/>
      <c r="J146" s="873"/>
      <c r="K146" s="873"/>
      <c r="L146" s="873"/>
      <c r="M146" s="873"/>
      <c r="N146" s="872"/>
      <c r="O146" s="872"/>
    </row>
    <row r="147" spans="1:15" ht="0.75" customHeight="1" hidden="1">
      <c r="A147" s="507" t="s">
        <v>148</v>
      </c>
      <c r="B147" s="429" t="s">
        <v>149</v>
      </c>
      <c r="C147" s="822">
        <f t="shared" si="51"/>
        <v>0</v>
      </c>
      <c r="D147" s="940"/>
      <c r="E147" s="827">
        <f>SUM(F147:G147)</f>
        <v>0</v>
      </c>
      <c r="F147" s="871"/>
      <c r="G147" s="871"/>
      <c r="H147" s="871"/>
      <c r="I147" s="871"/>
      <c r="J147" s="871"/>
      <c r="K147" s="871"/>
      <c r="L147" s="871"/>
      <c r="M147" s="871"/>
      <c r="N147" s="872"/>
      <c r="O147" s="872"/>
    </row>
    <row r="148" spans="1:15" ht="15" hidden="1">
      <c r="A148" s="508" t="s">
        <v>52</v>
      </c>
      <c r="B148" s="394" t="s">
        <v>150</v>
      </c>
      <c r="C148" s="791">
        <f t="shared" si="51"/>
        <v>34</v>
      </c>
      <c r="D148" s="791">
        <f t="shared" si="51"/>
        <v>17</v>
      </c>
      <c r="E148" s="799">
        <f>SUM(F148:G148)</f>
        <v>9</v>
      </c>
      <c r="F148" s="791">
        <f>F139-F140</f>
        <v>0</v>
      </c>
      <c r="G148" s="791">
        <f>G139-G140</f>
        <v>9</v>
      </c>
      <c r="H148" s="791">
        <f>H139-H140</f>
        <v>0</v>
      </c>
      <c r="I148" s="791">
        <f aca="true" t="shared" si="52" ref="I148:N148">I139-I140</f>
        <v>7</v>
      </c>
      <c r="J148" s="791">
        <f t="shared" si="52"/>
        <v>1</v>
      </c>
      <c r="K148" s="791">
        <f t="shared" si="52"/>
        <v>0</v>
      </c>
      <c r="L148" s="791">
        <f t="shared" si="52"/>
        <v>0</v>
      </c>
      <c r="M148" s="791">
        <f t="shared" si="52"/>
        <v>0</v>
      </c>
      <c r="N148" s="791">
        <f t="shared" si="52"/>
        <v>0</v>
      </c>
      <c r="O148" s="791">
        <f>O134-O140</f>
        <v>0</v>
      </c>
    </row>
    <row r="149" spans="1:15" ht="15" customHeight="1" hidden="1">
      <c r="A149" s="509" t="s">
        <v>538</v>
      </c>
      <c r="B149" s="432" t="s">
        <v>151</v>
      </c>
      <c r="C149" s="516">
        <f>(C141+C142)/C140</f>
        <v>0.43137254901960786</v>
      </c>
      <c r="D149" s="516">
        <f aca="true" t="shared" si="53" ref="D149:O149">(D141+D142)/D140</f>
        <v>0.4375</v>
      </c>
      <c r="E149" s="516">
        <f t="shared" si="53"/>
        <v>1</v>
      </c>
      <c r="F149" s="516" t="e">
        <f t="shared" si="53"/>
        <v>#DIV/0!</v>
      </c>
      <c r="G149" s="516">
        <f t="shared" si="53"/>
        <v>1</v>
      </c>
      <c r="H149" s="516" t="e">
        <f t="shared" si="53"/>
        <v>#DIV/0!</v>
      </c>
      <c r="I149" s="516">
        <f t="shared" si="53"/>
        <v>0.35294117647058826</v>
      </c>
      <c r="J149" s="516">
        <f t="shared" si="53"/>
        <v>1</v>
      </c>
      <c r="K149" s="516" t="e">
        <f t="shared" si="53"/>
        <v>#DIV/0!</v>
      </c>
      <c r="L149" s="516" t="e">
        <f t="shared" si="53"/>
        <v>#DIV/0!</v>
      </c>
      <c r="M149" s="516" t="e">
        <f t="shared" si="53"/>
        <v>#DIV/0!</v>
      </c>
      <c r="N149" s="516" t="e">
        <f t="shared" si="53"/>
        <v>#DIV/0!</v>
      </c>
      <c r="O149" s="516" t="e">
        <f t="shared" si="53"/>
        <v>#DIV/0!</v>
      </c>
    </row>
    <row r="150" ht="15" hidden="1"/>
    <row r="151" ht="15" hidden="1">
      <c r="B151" s="920" t="s">
        <v>740</v>
      </c>
    </row>
    <row r="152" spans="1:15" ht="0.75" customHeight="1" hidden="1">
      <c r="A152" s="1596" t="s">
        <v>68</v>
      </c>
      <c r="B152" s="1596"/>
      <c r="C152" s="1596" t="s">
        <v>37</v>
      </c>
      <c r="D152" s="1596" t="s">
        <v>335</v>
      </c>
      <c r="E152" s="1596"/>
      <c r="F152" s="1596"/>
      <c r="G152" s="1596"/>
      <c r="H152" s="1596"/>
      <c r="I152" s="1596"/>
      <c r="J152" s="1596"/>
      <c r="K152" s="1596"/>
      <c r="L152" s="1596"/>
      <c r="M152" s="1596"/>
      <c r="N152" s="1596"/>
      <c r="O152" s="1596"/>
    </row>
    <row r="153" spans="1:15" ht="15" hidden="1">
      <c r="A153" s="1596"/>
      <c r="B153" s="1596"/>
      <c r="C153" s="1596"/>
      <c r="D153" s="1613" t="s">
        <v>119</v>
      </c>
      <c r="E153" s="1611" t="s">
        <v>120</v>
      </c>
      <c r="F153" s="1611"/>
      <c r="G153" s="1611"/>
      <c r="H153" s="1611" t="s">
        <v>121</v>
      </c>
      <c r="I153" s="1611" t="s">
        <v>122</v>
      </c>
      <c r="J153" s="1611" t="s">
        <v>123</v>
      </c>
      <c r="K153" s="1611" t="s">
        <v>124</v>
      </c>
      <c r="L153" s="1611" t="s">
        <v>125</v>
      </c>
      <c r="M153" s="1611" t="s">
        <v>126</v>
      </c>
      <c r="N153" s="1611" t="s">
        <v>183</v>
      </c>
      <c r="O153" s="1611" t="s">
        <v>127</v>
      </c>
    </row>
    <row r="154" spans="1:15" ht="15" hidden="1">
      <c r="A154" s="1596"/>
      <c r="B154" s="1596"/>
      <c r="C154" s="1596"/>
      <c r="D154" s="1613"/>
      <c r="E154" s="1611" t="s">
        <v>36</v>
      </c>
      <c r="F154" s="1611" t="s">
        <v>7</v>
      </c>
      <c r="G154" s="1611"/>
      <c r="H154" s="1611"/>
      <c r="I154" s="1611"/>
      <c r="J154" s="1611"/>
      <c r="K154" s="1611"/>
      <c r="L154" s="1611"/>
      <c r="M154" s="1611"/>
      <c r="N154" s="1611"/>
      <c r="O154" s="1611"/>
    </row>
    <row r="155" spans="1:15" ht="0.75" customHeight="1" hidden="1">
      <c r="A155" s="1596"/>
      <c r="B155" s="1596"/>
      <c r="C155" s="1596"/>
      <c r="D155" s="1613"/>
      <c r="E155" s="1611"/>
      <c r="F155" s="560" t="s">
        <v>128</v>
      </c>
      <c r="G155" s="560" t="s">
        <v>129</v>
      </c>
      <c r="H155" s="1611"/>
      <c r="I155" s="1611"/>
      <c r="J155" s="1611"/>
      <c r="K155" s="1611"/>
      <c r="L155" s="1611"/>
      <c r="M155" s="1611"/>
      <c r="N155" s="1611"/>
      <c r="O155" s="1611"/>
    </row>
    <row r="156" spans="1:15" ht="15" hidden="1">
      <c r="A156" s="1612" t="s">
        <v>39</v>
      </c>
      <c r="B156" s="1612"/>
      <c r="C156" s="517">
        <v>1</v>
      </c>
      <c r="D156" s="517">
        <v>2</v>
      </c>
      <c r="E156" s="517">
        <v>3</v>
      </c>
      <c r="F156" s="517">
        <v>4</v>
      </c>
      <c r="G156" s="517">
        <v>5</v>
      </c>
      <c r="H156" s="517">
        <v>6</v>
      </c>
      <c r="I156" s="517">
        <v>7</v>
      </c>
      <c r="J156" s="517">
        <v>8</v>
      </c>
      <c r="K156" s="517">
        <v>9</v>
      </c>
      <c r="L156" s="517">
        <v>10</v>
      </c>
      <c r="M156" s="517">
        <v>11</v>
      </c>
      <c r="N156" s="517">
        <v>12</v>
      </c>
      <c r="O156" s="517">
        <v>13</v>
      </c>
    </row>
    <row r="157" spans="1:15" ht="15" hidden="1">
      <c r="A157" s="508" t="s">
        <v>0</v>
      </c>
      <c r="B157" s="438" t="s">
        <v>130</v>
      </c>
      <c r="C157" s="791">
        <f aca="true" t="shared" si="54" ref="C157:C163">SUM(D157,E157,H157:O157)</f>
        <v>128</v>
      </c>
      <c r="D157" s="799">
        <f aca="true" t="shared" si="55" ref="D157:O157">SUM(D158:D159)</f>
        <v>54</v>
      </c>
      <c r="E157" s="799">
        <f t="shared" si="55"/>
        <v>32</v>
      </c>
      <c r="F157" s="799">
        <f t="shared" si="55"/>
        <v>0</v>
      </c>
      <c r="G157" s="799">
        <f t="shared" si="55"/>
        <v>32</v>
      </c>
      <c r="H157" s="799">
        <f t="shared" si="55"/>
        <v>0</v>
      </c>
      <c r="I157" s="799">
        <f t="shared" si="55"/>
        <v>41</v>
      </c>
      <c r="J157" s="799">
        <f t="shared" si="55"/>
        <v>1</v>
      </c>
      <c r="K157" s="799">
        <f t="shared" si="55"/>
        <v>0</v>
      </c>
      <c r="L157" s="799">
        <f t="shared" si="55"/>
        <v>0</v>
      </c>
      <c r="M157" s="799">
        <f t="shared" si="55"/>
        <v>0</v>
      </c>
      <c r="N157" s="799">
        <f t="shared" si="55"/>
        <v>0</v>
      </c>
      <c r="O157" s="799">
        <f t="shared" si="55"/>
        <v>0</v>
      </c>
    </row>
    <row r="158" spans="1:15" ht="15.75" hidden="1">
      <c r="A158" s="507">
        <v>1</v>
      </c>
      <c r="B158" s="429" t="s">
        <v>131</v>
      </c>
      <c r="C158" s="822">
        <f t="shared" si="54"/>
        <v>81</v>
      </c>
      <c r="D158" s="806">
        <f>3+8+14+11</f>
        <v>36</v>
      </c>
      <c r="E158" s="823">
        <f>F158+G158</f>
        <v>25</v>
      </c>
      <c r="F158" s="864">
        <f>0+0+0</f>
        <v>0</v>
      </c>
      <c r="G158" s="864">
        <f>6+7+4+8</f>
        <v>25</v>
      </c>
      <c r="H158" s="864"/>
      <c r="I158" s="864">
        <f>1+5+6+7</f>
        <v>19</v>
      </c>
      <c r="J158" s="864">
        <v>1</v>
      </c>
      <c r="K158" s="864"/>
      <c r="L158" s="864"/>
      <c r="M158" s="864"/>
      <c r="N158" s="864"/>
      <c r="O158" s="864"/>
    </row>
    <row r="159" spans="1:15" ht="15.75" hidden="1">
      <c r="A159" s="507">
        <v>2</v>
      </c>
      <c r="B159" s="429" t="s">
        <v>132</v>
      </c>
      <c r="C159" s="822">
        <f t="shared" si="54"/>
        <v>47</v>
      </c>
      <c r="D159" s="803">
        <f>2+3+8+5</f>
        <v>18</v>
      </c>
      <c r="E159" s="823">
        <f>F159+G159</f>
        <v>7</v>
      </c>
      <c r="F159" s="863"/>
      <c r="G159" s="863">
        <f>0+1+1+5</f>
        <v>7</v>
      </c>
      <c r="H159" s="863"/>
      <c r="I159" s="863">
        <f>0+8+9+5</f>
        <v>22</v>
      </c>
      <c r="J159" s="863"/>
      <c r="K159" s="863"/>
      <c r="L159" s="863"/>
      <c r="M159" s="863"/>
      <c r="N159" s="863"/>
      <c r="O159" s="863"/>
    </row>
    <row r="160" spans="1:15" ht="15.75" hidden="1">
      <c r="A160" s="508" t="s">
        <v>1</v>
      </c>
      <c r="B160" s="394" t="s">
        <v>133</v>
      </c>
      <c r="C160" s="822">
        <f t="shared" si="54"/>
        <v>0</v>
      </c>
      <c r="D160" s="944">
        <v>0</v>
      </c>
      <c r="E160" s="823">
        <f>F160+G160</f>
        <v>0</v>
      </c>
      <c r="F160" s="934"/>
      <c r="G160" s="863"/>
      <c r="H160" s="934"/>
      <c r="I160" s="934"/>
      <c r="J160" s="934"/>
      <c r="K160" s="934"/>
      <c r="L160" s="934"/>
      <c r="M160" s="934"/>
      <c r="N160" s="934"/>
      <c r="O160" s="934"/>
    </row>
    <row r="161" spans="1:15" ht="15" hidden="1">
      <c r="A161" s="508" t="s">
        <v>9</v>
      </c>
      <c r="B161" s="394" t="s">
        <v>134</v>
      </c>
      <c r="C161" s="822">
        <f t="shared" si="54"/>
        <v>0</v>
      </c>
      <c r="D161" s="821"/>
      <c r="E161" s="823"/>
      <c r="F161" s="821"/>
      <c r="G161" s="821"/>
      <c r="H161" s="821"/>
      <c r="I161" s="821"/>
      <c r="J161" s="821"/>
      <c r="K161" s="821"/>
      <c r="L161" s="821"/>
      <c r="M161" s="821"/>
      <c r="N161" s="821"/>
      <c r="O161" s="821"/>
    </row>
    <row r="162" spans="1:15" ht="15" hidden="1">
      <c r="A162" s="508" t="s">
        <v>135</v>
      </c>
      <c r="B162" s="394" t="s">
        <v>136</v>
      </c>
      <c r="C162" s="824">
        <f t="shared" si="54"/>
        <v>128</v>
      </c>
      <c r="D162" s="824">
        <f>D157-SUM(D160,D161)</f>
        <v>54</v>
      </c>
      <c r="E162" s="825">
        <f aca="true" t="shared" si="56" ref="E162:E171">SUM(F162:G162)</f>
        <v>32</v>
      </c>
      <c r="F162" s="824">
        <f aca="true" t="shared" si="57" ref="F162:O162">F157-SUM(F160,F161)</f>
        <v>0</v>
      </c>
      <c r="G162" s="824">
        <f t="shared" si="57"/>
        <v>32</v>
      </c>
      <c r="H162" s="824">
        <f t="shared" si="57"/>
        <v>0</v>
      </c>
      <c r="I162" s="824">
        <f t="shared" si="57"/>
        <v>41</v>
      </c>
      <c r="J162" s="824">
        <f t="shared" si="57"/>
        <v>1</v>
      </c>
      <c r="K162" s="824">
        <f t="shared" si="57"/>
        <v>0</v>
      </c>
      <c r="L162" s="824">
        <f t="shared" si="57"/>
        <v>0</v>
      </c>
      <c r="M162" s="824">
        <f t="shared" si="57"/>
        <v>0</v>
      </c>
      <c r="N162" s="824">
        <f t="shared" si="57"/>
        <v>0</v>
      </c>
      <c r="O162" s="824">
        <f t="shared" si="57"/>
        <v>0</v>
      </c>
    </row>
    <row r="163" spans="1:15" ht="20.25" customHeight="1" hidden="1">
      <c r="A163" s="508" t="s">
        <v>51</v>
      </c>
      <c r="B163" s="394" t="s">
        <v>137</v>
      </c>
      <c r="C163" s="824">
        <f t="shared" si="54"/>
        <v>67</v>
      </c>
      <c r="D163" s="826">
        <f>SUM(D164:D170)</f>
        <v>34</v>
      </c>
      <c r="E163" s="825">
        <f t="shared" si="56"/>
        <v>10</v>
      </c>
      <c r="F163" s="826">
        <f aca="true" t="shared" si="58" ref="F163:N163">SUM(F164:F170)</f>
        <v>0</v>
      </c>
      <c r="G163" s="826">
        <f t="shared" si="58"/>
        <v>10</v>
      </c>
      <c r="H163" s="826">
        <f t="shared" si="58"/>
        <v>0</v>
      </c>
      <c r="I163" s="826">
        <f t="shared" si="58"/>
        <v>23</v>
      </c>
      <c r="J163" s="826">
        <f t="shared" si="58"/>
        <v>0</v>
      </c>
      <c r="K163" s="826">
        <f t="shared" si="58"/>
        <v>0</v>
      </c>
      <c r="L163" s="826">
        <f t="shared" si="58"/>
        <v>0</v>
      </c>
      <c r="M163" s="826">
        <f t="shared" si="58"/>
        <v>0</v>
      </c>
      <c r="N163" s="826">
        <f t="shared" si="58"/>
        <v>0</v>
      </c>
      <c r="O163" s="826">
        <f>SUM(O164:O170)</f>
        <v>0</v>
      </c>
    </row>
    <row r="164" spans="1:15" ht="15.75" hidden="1">
      <c r="A164" s="507" t="s">
        <v>53</v>
      </c>
      <c r="B164" s="429" t="s">
        <v>138</v>
      </c>
      <c r="C164" s="822">
        <f aca="true" t="shared" si="59" ref="C164:C171">D164+E164+H164+I164+J164+K164+L164+M164+N164+O164</f>
        <v>23</v>
      </c>
      <c r="D164" s="802">
        <f>2+0+2+6</f>
        <v>10</v>
      </c>
      <c r="E164" s="827">
        <f t="shared" si="56"/>
        <v>7</v>
      </c>
      <c r="F164" s="865"/>
      <c r="G164" s="865">
        <f>0+2+1+4</f>
        <v>7</v>
      </c>
      <c r="H164" s="865"/>
      <c r="I164" s="865">
        <f>0+1+5+0</f>
        <v>6</v>
      </c>
      <c r="J164" s="865"/>
      <c r="K164" s="865"/>
      <c r="L164" s="865"/>
      <c r="M164" s="865"/>
      <c r="N164" s="865"/>
      <c r="O164" s="865"/>
    </row>
    <row r="165" spans="1:15" ht="15.75" hidden="1">
      <c r="A165" s="507" t="s">
        <v>54</v>
      </c>
      <c r="B165" s="429" t="s">
        <v>139</v>
      </c>
      <c r="C165" s="822">
        <f t="shared" si="59"/>
        <v>1</v>
      </c>
      <c r="D165" s="803">
        <v>1</v>
      </c>
      <c r="E165" s="827">
        <f t="shared" si="56"/>
        <v>0</v>
      </c>
      <c r="F165" s="863"/>
      <c r="G165" s="863"/>
      <c r="H165" s="863"/>
      <c r="I165" s="863"/>
      <c r="J165" s="863"/>
      <c r="K165" s="863"/>
      <c r="L165" s="863"/>
      <c r="M165" s="863"/>
      <c r="N165" s="863"/>
      <c r="O165" s="863"/>
    </row>
    <row r="166" spans="1:15" ht="15.75" hidden="1">
      <c r="A166" s="507" t="s">
        <v>140</v>
      </c>
      <c r="B166" s="429" t="s">
        <v>141</v>
      </c>
      <c r="C166" s="822">
        <f t="shared" si="59"/>
        <v>43</v>
      </c>
      <c r="D166" s="803">
        <f>0+7+11+5</f>
        <v>23</v>
      </c>
      <c r="E166" s="827">
        <f t="shared" si="56"/>
        <v>3</v>
      </c>
      <c r="F166" s="863"/>
      <c r="G166" s="863">
        <f>1+0+1+1</f>
        <v>3</v>
      </c>
      <c r="H166" s="863"/>
      <c r="I166" s="863">
        <f>0+6+7+4</f>
        <v>17</v>
      </c>
      <c r="J166" s="863">
        <v>0</v>
      </c>
      <c r="K166" s="863"/>
      <c r="L166" s="863"/>
      <c r="M166" s="863"/>
      <c r="N166" s="863"/>
      <c r="O166" s="863"/>
    </row>
    <row r="167" spans="1:15" ht="15.75" hidden="1">
      <c r="A167" s="507" t="s">
        <v>142</v>
      </c>
      <c r="B167" s="429" t="s">
        <v>143</v>
      </c>
      <c r="C167" s="822">
        <f t="shared" si="59"/>
        <v>0</v>
      </c>
      <c r="D167" s="803">
        <v>0</v>
      </c>
      <c r="E167" s="827">
        <f t="shared" si="56"/>
        <v>0</v>
      </c>
      <c r="F167" s="863"/>
      <c r="G167" s="863"/>
      <c r="H167" s="863"/>
      <c r="I167" s="863"/>
      <c r="J167" s="863"/>
      <c r="K167" s="863"/>
      <c r="L167" s="863"/>
      <c r="M167" s="863"/>
      <c r="N167" s="863"/>
      <c r="O167" s="863"/>
    </row>
    <row r="168" spans="1:15" ht="12.75" customHeight="1" hidden="1">
      <c r="A168" s="507" t="s">
        <v>144</v>
      </c>
      <c r="B168" s="429" t="s">
        <v>145</v>
      </c>
      <c r="C168" s="822">
        <f t="shared" si="59"/>
        <v>0</v>
      </c>
      <c r="D168" s="803"/>
      <c r="E168" s="827">
        <f t="shared" si="56"/>
        <v>0</v>
      </c>
      <c r="F168" s="863"/>
      <c r="G168" s="863"/>
      <c r="H168" s="863"/>
      <c r="I168" s="863"/>
      <c r="J168" s="863"/>
      <c r="K168" s="863"/>
      <c r="L168" s="863"/>
      <c r="M168" s="863"/>
      <c r="N168" s="863"/>
      <c r="O168" s="863"/>
    </row>
    <row r="169" spans="1:15" ht="18.75" customHeight="1" hidden="1">
      <c r="A169" s="507" t="s">
        <v>146</v>
      </c>
      <c r="B169" s="431" t="s">
        <v>147</v>
      </c>
      <c r="C169" s="822">
        <f t="shared" si="59"/>
        <v>0</v>
      </c>
      <c r="D169" s="803"/>
      <c r="E169" s="827">
        <f t="shared" si="56"/>
        <v>0</v>
      </c>
      <c r="F169" s="863"/>
      <c r="G169" s="863"/>
      <c r="H169" s="863"/>
      <c r="I169" s="863"/>
      <c r="J169" s="863"/>
      <c r="K169" s="863"/>
      <c r="L169" s="863"/>
      <c r="M169" s="863"/>
      <c r="N169" s="863"/>
      <c r="O169" s="863"/>
    </row>
    <row r="170" spans="1:15" ht="15.75" hidden="1">
      <c r="A170" s="507" t="s">
        <v>148</v>
      </c>
      <c r="B170" s="429" t="s">
        <v>149</v>
      </c>
      <c r="C170" s="822">
        <f t="shared" si="59"/>
        <v>0</v>
      </c>
      <c r="D170" s="803">
        <f>0+0+0+0</f>
        <v>0</v>
      </c>
      <c r="E170" s="827">
        <f t="shared" si="56"/>
        <v>0</v>
      </c>
      <c r="F170" s="863"/>
      <c r="G170" s="863"/>
      <c r="H170" s="863"/>
      <c r="I170" s="863"/>
      <c r="J170" s="863"/>
      <c r="K170" s="863"/>
      <c r="L170" s="863"/>
      <c r="M170" s="863"/>
      <c r="N170" s="863"/>
      <c r="O170" s="863"/>
    </row>
    <row r="171" spans="1:15" ht="15" hidden="1">
      <c r="A171" s="508" t="s">
        <v>52</v>
      </c>
      <c r="B171" s="394" t="s">
        <v>150</v>
      </c>
      <c r="C171" s="791">
        <f t="shared" si="59"/>
        <v>61</v>
      </c>
      <c r="D171" s="791">
        <f>D162-D163</f>
        <v>20</v>
      </c>
      <c r="E171" s="799">
        <f t="shared" si="56"/>
        <v>22</v>
      </c>
      <c r="F171" s="791">
        <f>F162-F163</f>
        <v>0</v>
      </c>
      <c r="G171" s="791">
        <f>G162-G163</f>
        <v>22</v>
      </c>
      <c r="H171" s="791">
        <f>H162-H163</f>
        <v>0</v>
      </c>
      <c r="I171" s="791">
        <f aca="true" t="shared" si="60" ref="I171:N171">I162-I163</f>
        <v>18</v>
      </c>
      <c r="J171" s="791">
        <f t="shared" si="60"/>
        <v>1</v>
      </c>
      <c r="K171" s="791">
        <f t="shared" si="60"/>
        <v>0</v>
      </c>
      <c r="L171" s="791">
        <f t="shared" si="60"/>
        <v>0</v>
      </c>
      <c r="M171" s="791">
        <f t="shared" si="60"/>
        <v>0</v>
      </c>
      <c r="N171" s="791">
        <f t="shared" si="60"/>
        <v>0</v>
      </c>
      <c r="O171" s="791">
        <f>O157-O163</f>
        <v>0</v>
      </c>
    </row>
    <row r="172" spans="1:15" ht="25.5" hidden="1">
      <c r="A172" s="509" t="s">
        <v>538</v>
      </c>
      <c r="B172" s="432" t="s">
        <v>151</v>
      </c>
      <c r="C172" s="516">
        <f>(C164+C165)/C163</f>
        <v>0.3582089552238806</v>
      </c>
      <c r="D172" s="516">
        <f aca="true" t="shared" si="61" ref="D172:O172">(D164+D165)/D163</f>
        <v>0.3235294117647059</v>
      </c>
      <c r="E172" s="516">
        <f t="shared" si="61"/>
        <v>0.7</v>
      </c>
      <c r="F172" s="516" t="e">
        <f t="shared" si="61"/>
        <v>#DIV/0!</v>
      </c>
      <c r="G172" s="516">
        <f t="shared" si="61"/>
        <v>0.7</v>
      </c>
      <c r="H172" s="516" t="e">
        <f t="shared" si="61"/>
        <v>#DIV/0!</v>
      </c>
      <c r="I172" s="516">
        <f t="shared" si="61"/>
        <v>0.2608695652173913</v>
      </c>
      <c r="J172" s="516" t="e">
        <f t="shared" si="61"/>
        <v>#DIV/0!</v>
      </c>
      <c r="K172" s="516" t="e">
        <f t="shared" si="61"/>
        <v>#DIV/0!</v>
      </c>
      <c r="L172" s="516" t="e">
        <f t="shared" si="61"/>
        <v>#DIV/0!</v>
      </c>
      <c r="M172" s="516" t="e">
        <f t="shared" si="61"/>
        <v>#DIV/0!</v>
      </c>
      <c r="N172" s="516" t="e">
        <f t="shared" si="61"/>
        <v>#DIV/0!</v>
      </c>
      <c r="O172" s="516" t="e">
        <f t="shared" si="61"/>
        <v>#DIV/0!</v>
      </c>
    </row>
    <row r="173" ht="15" hidden="1"/>
    <row r="174" ht="15" hidden="1">
      <c r="B174" s="861" t="s">
        <v>735</v>
      </c>
    </row>
    <row r="175" spans="1:15" ht="15" customHeight="1" hidden="1">
      <c r="A175" s="1596" t="s">
        <v>68</v>
      </c>
      <c r="B175" s="1596"/>
      <c r="C175" s="1596" t="s">
        <v>37</v>
      </c>
      <c r="D175" s="1596" t="s">
        <v>335</v>
      </c>
      <c r="E175" s="1596"/>
      <c r="F175" s="1596"/>
      <c r="G175" s="1596"/>
      <c r="H175" s="1596"/>
      <c r="I175" s="1596"/>
      <c r="J175" s="1596"/>
      <c r="K175" s="1596"/>
      <c r="L175" s="1596"/>
      <c r="M175" s="1596"/>
      <c r="N175" s="1596"/>
      <c r="O175" s="1596"/>
    </row>
    <row r="176" spans="1:15" ht="15" customHeight="1" hidden="1">
      <c r="A176" s="1596"/>
      <c r="B176" s="1596"/>
      <c r="C176" s="1596"/>
      <c r="D176" s="1613" t="s">
        <v>119</v>
      </c>
      <c r="E176" s="1611" t="s">
        <v>120</v>
      </c>
      <c r="F176" s="1611"/>
      <c r="G176" s="1611"/>
      <c r="H176" s="1611" t="s">
        <v>121</v>
      </c>
      <c r="I176" s="1611" t="s">
        <v>122</v>
      </c>
      <c r="J176" s="1611" t="s">
        <v>123</v>
      </c>
      <c r="K176" s="1611" t="s">
        <v>124</v>
      </c>
      <c r="L176" s="1611" t="s">
        <v>125</v>
      </c>
      <c r="M176" s="1611" t="s">
        <v>126</v>
      </c>
      <c r="N176" s="1611" t="s">
        <v>183</v>
      </c>
      <c r="O176" s="1611" t="s">
        <v>127</v>
      </c>
    </row>
    <row r="177" spans="1:15" ht="15" hidden="1">
      <c r="A177" s="1596"/>
      <c r="B177" s="1596"/>
      <c r="C177" s="1596"/>
      <c r="D177" s="1613"/>
      <c r="E177" s="1611" t="s">
        <v>36</v>
      </c>
      <c r="F177" s="1611" t="s">
        <v>7</v>
      </c>
      <c r="G177" s="1611"/>
      <c r="H177" s="1611"/>
      <c r="I177" s="1611"/>
      <c r="J177" s="1611"/>
      <c r="K177" s="1611"/>
      <c r="L177" s="1611"/>
      <c r="M177" s="1611"/>
      <c r="N177" s="1611"/>
      <c r="O177" s="1611"/>
    </row>
    <row r="178" spans="1:15" ht="30" hidden="1">
      <c r="A178" s="1596"/>
      <c r="B178" s="1596"/>
      <c r="C178" s="1596"/>
      <c r="D178" s="1613"/>
      <c r="E178" s="1611"/>
      <c r="F178" s="560" t="s">
        <v>128</v>
      </c>
      <c r="G178" s="560" t="s">
        <v>129</v>
      </c>
      <c r="H178" s="1611"/>
      <c r="I178" s="1611"/>
      <c r="J178" s="1611"/>
      <c r="K178" s="1611"/>
      <c r="L178" s="1611"/>
      <c r="M178" s="1611"/>
      <c r="N178" s="1611"/>
      <c r="O178" s="1611"/>
    </row>
    <row r="179" spans="1:15" ht="15" hidden="1">
      <c r="A179" s="1612" t="s">
        <v>39</v>
      </c>
      <c r="B179" s="1612"/>
      <c r="C179" s="517">
        <v>1</v>
      </c>
      <c r="D179" s="517">
        <v>2</v>
      </c>
      <c r="E179" s="517">
        <v>3</v>
      </c>
      <c r="F179" s="517">
        <v>4</v>
      </c>
      <c r="G179" s="517">
        <v>5</v>
      </c>
      <c r="H179" s="517">
        <v>6</v>
      </c>
      <c r="I179" s="517">
        <v>7</v>
      </c>
      <c r="J179" s="517">
        <v>8</v>
      </c>
      <c r="K179" s="517">
        <v>9</v>
      </c>
      <c r="L179" s="517">
        <v>10</v>
      </c>
      <c r="M179" s="517">
        <v>11</v>
      </c>
      <c r="N179" s="517">
        <v>12</v>
      </c>
      <c r="O179" s="517">
        <v>13</v>
      </c>
    </row>
    <row r="180" spans="1:15" ht="15" hidden="1">
      <c r="A180" s="508" t="s">
        <v>0</v>
      </c>
      <c r="B180" s="438" t="s">
        <v>130</v>
      </c>
      <c r="C180" s="791">
        <f aca="true" t="shared" si="62" ref="C180:C186">SUM(D180,E180,H180:O180)</f>
        <v>32</v>
      </c>
      <c r="D180" s="799">
        <f aca="true" t="shared" si="63" ref="D180:O180">SUM(D181:D182)</f>
        <v>13</v>
      </c>
      <c r="E180" s="799">
        <f t="shared" si="63"/>
        <v>11</v>
      </c>
      <c r="F180" s="799">
        <f t="shared" si="63"/>
        <v>0</v>
      </c>
      <c r="G180" s="799">
        <f t="shared" si="63"/>
        <v>11</v>
      </c>
      <c r="H180" s="799">
        <f t="shared" si="63"/>
        <v>0</v>
      </c>
      <c r="I180" s="799">
        <f t="shared" si="63"/>
        <v>8</v>
      </c>
      <c r="J180" s="799">
        <f t="shared" si="63"/>
        <v>0</v>
      </c>
      <c r="K180" s="799">
        <f t="shared" si="63"/>
        <v>0</v>
      </c>
      <c r="L180" s="799">
        <f t="shared" si="63"/>
        <v>0</v>
      </c>
      <c r="M180" s="799">
        <f t="shared" si="63"/>
        <v>0</v>
      </c>
      <c r="N180" s="799">
        <f t="shared" si="63"/>
        <v>0</v>
      </c>
      <c r="O180" s="799">
        <f t="shared" si="63"/>
        <v>0</v>
      </c>
    </row>
    <row r="181" spans="1:15" ht="15.75" hidden="1">
      <c r="A181" s="507">
        <v>1</v>
      </c>
      <c r="B181" s="429" t="s">
        <v>131</v>
      </c>
      <c r="C181" s="822">
        <f t="shared" si="62"/>
        <v>25</v>
      </c>
      <c r="D181" s="868">
        <v>9</v>
      </c>
      <c r="E181" s="823">
        <f>F181+G181</f>
        <v>10</v>
      </c>
      <c r="F181" s="869"/>
      <c r="G181" s="869">
        <v>10</v>
      </c>
      <c r="H181" s="869"/>
      <c r="I181" s="869">
        <v>6</v>
      </c>
      <c r="J181" s="869"/>
      <c r="K181" s="869"/>
      <c r="L181" s="869"/>
      <c r="M181" s="864"/>
      <c r="N181" s="864"/>
      <c r="O181" s="864"/>
    </row>
    <row r="182" spans="1:15" ht="15" customHeight="1" hidden="1">
      <c r="A182" s="507">
        <v>2</v>
      </c>
      <c r="B182" s="429" t="s">
        <v>132</v>
      </c>
      <c r="C182" s="822">
        <f t="shared" si="62"/>
        <v>7</v>
      </c>
      <c r="D182" s="803">
        <v>4</v>
      </c>
      <c r="E182" s="823">
        <f>F182+G182</f>
        <v>1</v>
      </c>
      <c r="F182" s="863"/>
      <c r="G182" s="863">
        <v>1</v>
      </c>
      <c r="H182" s="863"/>
      <c r="I182" s="863">
        <v>2</v>
      </c>
      <c r="J182" s="863"/>
      <c r="K182" s="863"/>
      <c r="L182" s="863"/>
      <c r="M182" s="863"/>
      <c r="N182" s="863"/>
      <c r="O182" s="863"/>
    </row>
    <row r="183" spans="1:15" ht="15.75" hidden="1">
      <c r="A183" s="508" t="s">
        <v>1</v>
      </c>
      <c r="B183" s="394" t="s">
        <v>133</v>
      </c>
      <c r="C183" s="822">
        <f t="shared" si="62"/>
        <v>0</v>
      </c>
      <c r="D183" s="944"/>
      <c r="E183" s="823">
        <f>F183+G183</f>
        <v>0</v>
      </c>
      <c r="F183" s="863"/>
      <c r="G183" s="863"/>
      <c r="H183" s="863"/>
      <c r="I183" s="863"/>
      <c r="J183" s="863"/>
      <c r="K183" s="863"/>
      <c r="L183" s="863"/>
      <c r="M183" s="934"/>
      <c r="N183" s="934"/>
      <c r="O183" s="934"/>
    </row>
    <row r="184" spans="1:15" ht="15" hidden="1">
      <c r="A184" s="508" t="s">
        <v>9</v>
      </c>
      <c r="B184" s="394" t="s">
        <v>134</v>
      </c>
      <c r="C184" s="822">
        <f t="shared" si="62"/>
        <v>0</v>
      </c>
      <c r="D184" s="821"/>
      <c r="E184" s="823"/>
      <c r="F184" s="821"/>
      <c r="G184" s="821"/>
      <c r="H184" s="821"/>
      <c r="I184" s="821"/>
      <c r="J184" s="821"/>
      <c r="K184" s="821"/>
      <c r="L184" s="821"/>
      <c r="M184" s="821"/>
      <c r="N184" s="821"/>
      <c r="O184" s="821"/>
    </row>
    <row r="185" spans="1:15" ht="15" hidden="1">
      <c r="A185" s="508" t="s">
        <v>135</v>
      </c>
      <c r="B185" s="394" t="s">
        <v>136</v>
      </c>
      <c r="C185" s="824">
        <f t="shared" si="62"/>
        <v>32</v>
      </c>
      <c r="D185" s="824">
        <f>D180-SUM(D183,D184)</f>
        <v>13</v>
      </c>
      <c r="E185" s="825">
        <f aca="true" t="shared" si="64" ref="E185:E194">SUM(F185:G185)</f>
        <v>11</v>
      </c>
      <c r="F185" s="824">
        <f aca="true" t="shared" si="65" ref="F185:O185">F180-SUM(F183,F184)</f>
        <v>0</v>
      </c>
      <c r="G185" s="824">
        <f t="shared" si="65"/>
        <v>11</v>
      </c>
      <c r="H185" s="824">
        <f t="shared" si="65"/>
        <v>0</v>
      </c>
      <c r="I185" s="824">
        <f t="shared" si="65"/>
        <v>8</v>
      </c>
      <c r="J185" s="824">
        <f t="shared" si="65"/>
        <v>0</v>
      </c>
      <c r="K185" s="824">
        <f t="shared" si="65"/>
        <v>0</v>
      </c>
      <c r="L185" s="824">
        <f t="shared" si="65"/>
        <v>0</v>
      </c>
      <c r="M185" s="824">
        <f t="shared" si="65"/>
        <v>0</v>
      </c>
      <c r="N185" s="824">
        <f t="shared" si="65"/>
        <v>0</v>
      </c>
      <c r="O185" s="824">
        <f t="shared" si="65"/>
        <v>0</v>
      </c>
    </row>
    <row r="186" spans="1:15" ht="15" hidden="1">
      <c r="A186" s="508" t="s">
        <v>51</v>
      </c>
      <c r="B186" s="394" t="s">
        <v>137</v>
      </c>
      <c r="C186" s="824">
        <f t="shared" si="62"/>
        <v>13</v>
      </c>
      <c r="D186" s="826">
        <f>SUM(D187:D193)</f>
        <v>8</v>
      </c>
      <c r="E186" s="825">
        <f t="shared" si="64"/>
        <v>0</v>
      </c>
      <c r="F186" s="826">
        <f aca="true" t="shared" si="66" ref="F186:N186">SUM(F187:F193)</f>
        <v>0</v>
      </c>
      <c r="G186" s="826">
        <f t="shared" si="66"/>
        <v>0</v>
      </c>
      <c r="H186" s="826">
        <f t="shared" si="66"/>
        <v>0</v>
      </c>
      <c r="I186" s="826">
        <f t="shared" si="66"/>
        <v>5</v>
      </c>
      <c r="J186" s="826">
        <f t="shared" si="66"/>
        <v>0</v>
      </c>
      <c r="K186" s="826">
        <f t="shared" si="66"/>
        <v>0</v>
      </c>
      <c r="L186" s="826">
        <f t="shared" si="66"/>
        <v>0</v>
      </c>
      <c r="M186" s="826">
        <f t="shared" si="66"/>
        <v>0</v>
      </c>
      <c r="N186" s="826">
        <f t="shared" si="66"/>
        <v>0</v>
      </c>
      <c r="O186" s="826">
        <f>SUM(O187:O193)</f>
        <v>0</v>
      </c>
    </row>
    <row r="187" spans="1:15" ht="15.75" hidden="1">
      <c r="A187" s="507" t="s">
        <v>53</v>
      </c>
      <c r="B187" s="429" t="s">
        <v>138</v>
      </c>
      <c r="C187" s="822">
        <f aca="true" t="shared" si="67" ref="C187:C194">D187+E187+H187+I187+J187+K187+L187+M187+N187+O187</f>
        <v>2</v>
      </c>
      <c r="D187" s="802">
        <v>2</v>
      </c>
      <c r="E187" s="827">
        <f t="shared" si="64"/>
        <v>0</v>
      </c>
      <c r="F187" s="865"/>
      <c r="G187" s="865">
        <v>0</v>
      </c>
      <c r="H187" s="865"/>
      <c r="I187" s="865">
        <v>0</v>
      </c>
      <c r="J187" s="865"/>
      <c r="K187" s="865"/>
      <c r="L187" s="865"/>
      <c r="M187" s="865"/>
      <c r="N187" s="865"/>
      <c r="O187" s="865"/>
    </row>
    <row r="188" spans="1:15" ht="15.75" hidden="1">
      <c r="A188" s="507" t="s">
        <v>54</v>
      </c>
      <c r="B188" s="429" t="s">
        <v>139</v>
      </c>
      <c r="C188" s="822">
        <f t="shared" si="67"/>
        <v>0</v>
      </c>
      <c r="D188" s="803">
        <v>0</v>
      </c>
      <c r="E188" s="827">
        <f t="shared" si="64"/>
        <v>0</v>
      </c>
      <c r="F188" s="863"/>
      <c r="G188" s="863"/>
      <c r="H188" s="863"/>
      <c r="I188" s="863"/>
      <c r="J188" s="863"/>
      <c r="K188" s="863"/>
      <c r="L188" s="863"/>
      <c r="M188" s="863"/>
      <c r="N188" s="863"/>
      <c r="O188" s="863"/>
    </row>
    <row r="189" spans="1:15" ht="15" customHeight="1" hidden="1">
      <c r="A189" s="507" t="s">
        <v>140</v>
      </c>
      <c r="B189" s="429" t="s">
        <v>141</v>
      </c>
      <c r="C189" s="822">
        <f t="shared" si="67"/>
        <v>11</v>
      </c>
      <c r="D189" s="803">
        <v>6</v>
      </c>
      <c r="E189" s="827">
        <f t="shared" si="64"/>
        <v>0</v>
      </c>
      <c r="F189" s="863"/>
      <c r="G189" s="863">
        <v>0</v>
      </c>
      <c r="H189" s="863"/>
      <c r="I189" s="863">
        <v>5</v>
      </c>
      <c r="J189" s="863"/>
      <c r="K189" s="863"/>
      <c r="L189" s="863"/>
      <c r="M189" s="863"/>
      <c r="N189" s="863"/>
      <c r="O189" s="863"/>
    </row>
    <row r="190" spans="1:15" ht="15.75" hidden="1">
      <c r="A190" s="507" t="s">
        <v>142</v>
      </c>
      <c r="B190" s="429" t="s">
        <v>143</v>
      </c>
      <c r="C190" s="822">
        <f t="shared" si="67"/>
        <v>0</v>
      </c>
      <c r="D190" s="803"/>
      <c r="E190" s="827">
        <f t="shared" si="64"/>
        <v>0</v>
      </c>
      <c r="F190" s="863"/>
      <c r="G190" s="863"/>
      <c r="H190" s="863"/>
      <c r="I190" s="863"/>
      <c r="J190" s="863"/>
      <c r="K190" s="863"/>
      <c r="L190" s="863"/>
      <c r="M190" s="863"/>
      <c r="N190" s="863"/>
      <c r="O190" s="863"/>
    </row>
    <row r="191" spans="1:15" ht="15.75" hidden="1">
      <c r="A191" s="507" t="s">
        <v>144</v>
      </c>
      <c r="B191" s="429" t="s">
        <v>145</v>
      </c>
      <c r="C191" s="822">
        <f t="shared" si="67"/>
        <v>0</v>
      </c>
      <c r="D191" s="803"/>
      <c r="E191" s="827">
        <f t="shared" si="64"/>
        <v>0</v>
      </c>
      <c r="F191" s="863"/>
      <c r="G191" s="863"/>
      <c r="H191" s="863"/>
      <c r="I191" s="863"/>
      <c r="J191" s="863"/>
      <c r="K191" s="863"/>
      <c r="L191" s="863"/>
      <c r="M191" s="863"/>
      <c r="N191" s="863"/>
      <c r="O191" s="863"/>
    </row>
    <row r="192" spans="1:15" ht="25.5" hidden="1">
      <c r="A192" s="507" t="s">
        <v>146</v>
      </c>
      <c r="B192" s="431" t="s">
        <v>147</v>
      </c>
      <c r="C192" s="822">
        <f t="shared" si="67"/>
        <v>0</v>
      </c>
      <c r="D192" s="803"/>
      <c r="E192" s="827">
        <f t="shared" si="64"/>
        <v>0</v>
      </c>
      <c r="F192" s="863"/>
      <c r="G192" s="863"/>
      <c r="H192" s="863"/>
      <c r="I192" s="863"/>
      <c r="J192" s="863"/>
      <c r="K192" s="863"/>
      <c r="L192" s="863"/>
      <c r="M192" s="863"/>
      <c r="N192" s="863"/>
      <c r="O192" s="863"/>
    </row>
    <row r="193" spans="1:15" ht="15.75" hidden="1">
      <c r="A193" s="507" t="s">
        <v>148</v>
      </c>
      <c r="B193" s="429" t="s">
        <v>149</v>
      </c>
      <c r="C193" s="822">
        <f t="shared" si="67"/>
        <v>0</v>
      </c>
      <c r="D193" s="803">
        <f>0+0+0+0</f>
        <v>0</v>
      </c>
      <c r="E193" s="827">
        <f t="shared" si="64"/>
        <v>0</v>
      </c>
      <c r="F193" s="863"/>
      <c r="G193" s="863"/>
      <c r="H193" s="863"/>
      <c r="I193" s="863"/>
      <c r="J193" s="863"/>
      <c r="K193" s="863"/>
      <c r="L193" s="863"/>
      <c r="M193" s="863"/>
      <c r="N193" s="863"/>
      <c r="O193" s="863"/>
    </row>
    <row r="194" spans="1:15" ht="15" hidden="1">
      <c r="A194" s="508" t="s">
        <v>52</v>
      </c>
      <c r="B194" s="394" t="s">
        <v>150</v>
      </c>
      <c r="C194" s="791">
        <f t="shared" si="67"/>
        <v>19</v>
      </c>
      <c r="D194" s="791">
        <f>D185-D186</f>
        <v>5</v>
      </c>
      <c r="E194" s="799">
        <f t="shared" si="64"/>
        <v>11</v>
      </c>
      <c r="F194" s="791">
        <f>F185-F186</f>
        <v>0</v>
      </c>
      <c r="G194" s="791">
        <f>G185-G186</f>
        <v>11</v>
      </c>
      <c r="H194" s="791">
        <f>H185-H186</f>
        <v>0</v>
      </c>
      <c r="I194" s="791">
        <f aca="true" t="shared" si="68" ref="I194:N194">I185-I186</f>
        <v>3</v>
      </c>
      <c r="J194" s="791">
        <f t="shared" si="68"/>
        <v>0</v>
      </c>
      <c r="K194" s="791">
        <f t="shared" si="68"/>
        <v>0</v>
      </c>
      <c r="L194" s="791">
        <f t="shared" si="68"/>
        <v>0</v>
      </c>
      <c r="M194" s="791">
        <f t="shared" si="68"/>
        <v>0</v>
      </c>
      <c r="N194" s="791">
        <f t="shared" si="68"/>
        <v>0</v>
      </c>
      <c r="O194" s="791">
        <f>O180-O186</f>
        <v>0</v>
      </c>
    </row>
    <row r="195" spans="1:15" ht="25.5" hidden="1">
      <c r="A195" s="509" t="s">
        <v>538</v>
      </c>
      <c r="B195" s="432" t="s">
        <v>151</v>
      </c>
      <c r="C195" s="516">
        <f>(C187+C188)/C186</f>
        <v>0.15384615384615385</v>
      </c>
      <c r="D195" s="516">
        <f aca="true" t="shared" si="69" ref="D195:O195">(D187+D188)/D186</f>
        <v>0.25</v>
      </c>
      <c r="E195" s="516" t="e">
        <f t="shared" si="69"/>
        <v>#DIV/0!</v>
      </c>
      <c r="F195" s="516" t="e">
        <f t="shared" si="69"/>
        <v>#DIV/0!</v>
      </c>
      <c r="G195" s="516" t="e">
        <f t="shared" si="69"/>
        <v>#DIV/0!</v>
      </c>
      <c r="H195" s="516" t="e">
        <f t="shared" si="69"/>
        <v>#DIV/0!</v>
      </c>
      <c r="I195" s="516">
        <f t="shared" si="69"/>
        <v>0</v>
      </c>
      <c r="J195" s="516" t="e">
        <f t="shared" si="69"/>
        <v>#DIV/0!</v>
      </c>
      <c r="K195" s="516" t="e">
        <f t="shared" si="69"/>
        <v>#DIV/0!</v>
      </c>
      <c r="L195" s="516" t="e">
        <f t="shared" si="69"/>
        <v>#DIV/0!</v>
      </c>
      <c r="M195" s="516" t="e">
        <f t="shared" si="69"/>
        <v>#DIV/0!</v>
      </c>
      <c r="N195" s="516" t="e">
        <f t="shared" si="69"/>
        <v>#DIV/0!</v>
      </c>
      <c r="O195" s="516" t="e">
        <f t="shared" si="69"/>
        <v>#DIV/0!</v>
      </c>
    </row>
    <row r="196" ht="15" hidden="1"/>
    <row r="197" ht="15" hidden="1">
      <c r="B197" s="388" t="s">
        <v>736</v>
      </c>
    </row>
    <row r="198" ht="15" hidden="1"/>
    <row r="199" spans="1:15" ht="15" hidden="1">
      <c r="A199" s="1596" t="s">
        <v>68</v>
      </c>
      <c r="B199" s="1596"/>
      <c r="C199" s="1596" t="s">
        <v>37</v>
      </c>
      <c r="D199" s="1596" t="s">
        <v>335</v>
      </c>
      <c r="E199" s="1596"/>
      <c r="F199" s="1596"/>
      <c r="G199" s="1596"/>
      <c r="H199" s="1596"/>
      <c r="I199" s="1596"/>
      <c r="J199" s="1596"/>
      <c r="K199" s="1596"/>
      <c r="L199" s="1596"/>
      <c r="M199" s="1596"/>
      <c r="N199" s="1596"/>
      <c r="O199" s="1596"/>
    </row>
    <row r="200" spans="1:15" ht="15" hidden="1">
      <c r="A200" s="1596"/>
      <c r="B200" s="1596"/>
      <c r="C200" s="1596"/>
      <c r="D200" s="1613" t="s">
        <v>119</v>
      </c>
      <c r="E200" s="1611" t="s">
        <v>120</v>
      </c>
      <c r="F200" s="1611"/>
      <c r="G200" s="1611"/>
      <c r="H200" s="1611" t="s">
        <v>121</v>
      </c>
      <c r="I200" s="1611" t="s">
        <v>122</v>
      </c>
      <c r="J200" s="1611" t="s">
        <v>123</v>
      </c>
      <c r="K200" s="1611" t="s">
        <v>124</v>
      </c>
      <c r="L200" s="1611" t="s">
        <v>125</v>
      </c>
      <c r="M200" s="1611" t="s">
        <v>126</v>
      </c>
      <c r="N200" s="1611" t="s">
        <v>183</v>
      </c>
      <c r="O200" s="1611" t="s">
        <v>127</v>
      </c>
    </row>
    <row r="201" spans="1:15" ht="15" hidden="1">
      <c r="A201" s="1596"/>
      <c r="B201" s="1596"/>
      <c r="C201" s="1596"/>
      <c r="D201" s="1613"/>
      <c r="E201" s="1611" t="s">
        <v>36</v>
      </c>
      <c r="F201" s="1611" t="s">
        <v>7</v>
      </c>
      <c r="G201" s="1611"/>
      <c r="H201" s="1611"/>
      <c r="I201" s="1611"/>
      <c r="J201" s="1611"/>
      <c r="K201" s="1611"/>
      <c r="L201" s="1611"/>
      <c r="M201" s="1611"/>
      <c r="N201" s="1611"/>
      <c r="O201" s="1611"/>
    </row>
    <row r="202" spans="1:15" ht="18" customHeight="1" hidden="1">
      <c r="A202" s="1596"/>
      <c r="B202" s="1596"/>
      <c r="C202" s="1596"/>
      <c r="D202" s="1613"/>
      <c r="E202" s="1611"/>
      <c r="F202" s="560" t="s">
        <v>128</v>
      </c>
      <c r="G202" s="560" t="s">
        <v>129</v>
      </c>
      <c r="H202" s="1611"/>
      <c r="I202" s="1611"/>
      <c r="J202" s="1611"/>
      <c r="K202" s="1611"/>
      <c r="L202" s="1611"/>
      <c r="M202" s="1611"/>
      <c r="N202" s="1611"/>
      <c r="O202" s="1611"/>
    </row>
    <row r="203" spans="1:15" ht="14.25" customHeight="1" hidden="1">
      <c r="A203" s="1612" t="s">
        <v>39</v>
      </c>
      <c r="B203" s="1612"/>
      <c r="C203" s="517">
        <v>1</v>
      </c>
      <c r="D203" s="517">
        <v>2</v>
      </c>
      <c r="E203" s="517">
        <v>3</v>
      </c>
      <c r="F203" s="517">
        <v>4</v>
      </c>
      <c r="G203" s="517">
        <v>5</v>
      </c>
      <c r="H203" s="517">
        <v>6</v>
      </c>
      <c r="I203" s="517">
        <v>7</v>
      </c>
      <c r="J203" s="517">
        <v>8</v>
      </c>
      <c r="K203" s="517">
        <v>9</v>
      </c>
      <c r="L203" s="517">
        <v>10</v>
      </c>
      <c r="M203" s="517">
        <v>11</v>
      </c>
      <c r="N203" s="517">
        <v>12</v>
      </c>
      <c r="O203" s="517">
        <v>13</v>
      </c>
    </row>
    <row r="204" spans="1:15" ht="15" hidden="1">
      <c r="A204" s="508" t="s">
        <v>0</v>
      </c>
      <c r="B204" s="438" t="s">
        <v>130</v>
      </c>
      <c r="C204" s="791">
        <f aca="true" t="shared" si="70" ref="C204:C210">SUM(D204,E204,H204:O204)</f>
        <v>43</v>
      </c>
      <c r="D204" s="799">
        <f aca="true" t="shared" si="71" ref="D204:O204">SUM(D205:D206)</f>
        <v>29</v>
      </c>
      <c r="E204" s="799">
        <f t="shared" si="71"/>
        <v>4</v>
      </c>
      <c r="F204" s="799">
        <f t="shared" si="71"/>
        <v>0</v>
      </c>
      <c r="G204" s="799">
        <f t="shared" si="71"/>
        <v>4</v>
      </c>
      <c r="H204" s="799">
        <f t="shared" si="71"/>
        <v>0</v>
      </c>
      <c r="I204" s="799">
        <f t="shared" si="71"/>
        <v>10</v>
      </c>
      <c r="J204" s="799">
        <f t="shared" si="71"/>
        <v>0</v>
      </c>
      <c r="K204" s="799">
        <f t="shared" si="71"/>
        <v>0</v>
      </c>
      <c r="L204" s="799">
        <f t="shared" si="71"/>
        <v>0</v>
      </c>
      <c r="M204" s="799">
        <f t="shared" si="71"/>
        <v>0</v>
      </c>
      <c r="N204" s="799">
        <f t="shared" si="71"/>
        <v>0</v>
      </c>
      <c r="O204" s="799">
        <f t="shared" si="71"/>
        <v>0</v>
      </c>
    </row>
    <row r="205" spans="1:15" ht="15.75" hidden="1">
      <c r="A205" s="507">
        <v>1</v>
      </c>
      <c r="B205" s="429" t="s">
        <v>131</v>
      </c>
      <c r="C205" s="822">
        <f t="shared" si="70"/>
        <v>21</v>
      </c>
      <c r="D205" s="981">
        <v>13</v>
      </c>
      <c r="E205" s="823">
        <f>F205+G205</f>
        <v>3</v>
      </c>
      <c r="F205" s="981">
        <v>0</v>
      </c>
      <c r="G205" s="981">
        <v>3</v>
      </c>
      <c r="H205" s="981">
        <v>0</v>
      </c>
      <c r="I205" s="981">
        <v>5</v>
      </c>
      <c r="J205" s="981">
        <v>0</v>
      </c>
      <c r="K205" s="981">
        <v>0</v>
      </c>
      <c r="L205" s="981">
        <v>0</v>
      </c>
      <c r="M205" s="958"/>
      <c r="N205" s="884"/>
      <c r="O205" s="884"/>
    </row>
    <row r="206" spans="1:15" ht="13.5" customHeight="1" hidden="1">
      <c r="A206" s="507">
        <v>2</v>
      </c>
      <c r="B206" s="429" t="s">
        <v>132</v>
      </c>
      <c r="C206" s="822">
        <f t="shared" si="70"/>
        <v>22</v>
      </c>
      <c r="D206" s="875">
        <v>16</v>
      </c>
      <c r="E206" s="823">
        <f>F206+G206</f>
        <v>1</v>
      </c>
      <c r="F206" s="943">
        <v>0</v>
      </c>
      <c r="G206" s="875">
        <v>1</v>
      </c>
      <c r="H206" s="875">
        <v>0</v>
      </c>
      <c r="I206" s="875">
        <v>5</v>
      </c>
      <c r="J206" s="874">
        <v>0</v>
      </c>
      <c r="K206" s="874">
        <v>0</v>
      </c>
      <c r="L206" s="874">
        <v>0</v>
      </c>
      <c r="M206" s="874"/>
      <c r="N206" s="874"/>
      <c r="O206" s="874"/>
    </row>
    <row r="207" spans="1:15" ht="15.75" hidden="1">
      <c r="A207" s="508" t="s">
        <v>1</v>
      </c>
      <c r="B207" s="394" t="s">
        <v>133</v>
      </c>
      <c r="C207" s="822">
        <f t="shared" si="70"/>
        <v>0</v>
      </c>
      <c r="D207" s="874">
        <v>0</v>
      </c>
      <c r="E207" s="823">
        <f>F207+G207</f>
        <v>0</v>
      </c>
      <c r="F207" s="885"/>
      <c r="G207" s="874"/>
      <c r="H207" s="874"/>
      <c r="I207" s="874"/>
      <c r="J207" s="874"/>
      <c r="K207" s="874">
        <v>0</v>
      </c>
      <c r="L207" s="874">
        <v>0</v>
      </c>
      <c r="M207" s="874"/>
      <c r="N207" s="874"/>
      <c r="O207" s="874"/>
    </row>
    <row r="208" spans="1:15" ht="17.25" customHeight="1" hidden="1">
      <c r="A208" s="508" t="s">
        <v>9</v>
      </c>
      <c r="B208" s="394" t="s">
        <v>134</v>
      </c>
      <c r="C208" s="822">
        <f t="shared" si="70"/>
        <v>0</v>
      </c>
      <c r="D208" s="874"/>
      <c r="E208" s="823"/>
      <c r="F208" s="885"/>
      <c r="G208" s="874"/>
      <c r="H208" s="874"/>
      <c r="I208" s="874"/>
      <c r="J208" s="874"/>
      <c r="K208" s="874"/>
      <c r="L208" s="874"/>
      <c r="M208" s="874"/>
      <c r="N208" s="874"/>
      <c r="O208" s="874"/>
    </row>
    <row r="209" spans="1:15" ht="15" hidden="1">
      <c r="A209" s="508" t="s">
        <v>135</v>
      </c>
      <c r="B209" s="394" t="s">
        <v>136</v>
      </c>
      <c r="C209" s="824">
        <f t="shared" si="70"/>
        <v>43</v>
      </c>
      <c r="D209" s="824">
        <f>D204-SUM(D207,D208)</f>
        <v>29</v>
      </c>
      <c r="E209" s="825">
        <f aca="true" t="shared" si="72" ref="E209:E215">SUM(F209:G209)</f>
        <v>4</v>
      </c>
      <c r="F209" s="824">
        <f aca="true" t="shared" si="73" ref="F209:O209">F204-SUM(F207,F208)</f>
        <v>0</v>
      </c>
      <c r="G209" s="824">
        <f t="shared" si="73"/>
        <v>4</v>
      </c>
      <c r="H209" s="824">
        <f t="shared" si="73"/>
        <v>0</v>
      </c>
      <c r="I209" s="824">
        <f>I204-SUM(I207,I208)</f>
        <v>10</v>
      </c>
      <c r="J209" s="824">
        <f t="shared" si="73"/>
        <v>0</v>
      </c>
      <c r="K209" s="824">
        <f t="shared" si="73"/>
        <v>0</v>
      </c>
      <c r="L209" s="824">
        <f t="shared" si="73"/>
        <v>0</v>
      </c>
      <c r="M209" s="824">
        <f t="shared" si="73"/>
        <v>0</v>
      </c>
      <c r="N209" s="824">
        <f t="shared" si="73"/>
        <v>0</v>
      </c>
      <c r="O209" s="824">
        <f t="shared" si="73"/>
        <v>0</v>
      </c>
    </row>
    <row r="210" spans="1:15" ht="15" hidden="1">
      <c r="A210" s="508" t="s">
        <v>51</v>
      </c>
      <c r="B210" s="394" t="s">
        <v>137</v>
      </c>
      <c r="C210" s="824">
        <f t="shared" si="70"/>
        <v>22</v>
      </c>
      <c r="D210" s="826">
        <f>SUM(D211:D217)</f>
        <v>16</v>
      </c>
      <c r="E210" s="825">
        <f t="shared" si="72"/>
        <v>1</v>
      </c>
      <c r="F210" s="826">
        <f aca="true" t="shared" si="74" ref="F210:N210">SUM(F211:F217)</f>
        <v>0</v>
      </c>
      <c r="G210" s="826">
        <f t="shared" si="74"/>
        <v>1</v>
      </c>
      <c r="H210" s="826">
        <f t="shared" si="74"/>
        <v>0</v>
      </c>
      <c r="I210" s="826">
        <f t="shared" si="74"/>
        <v>5</v>
      </c>
      <c r="J210" s="826">
        <f t="shared" si="74"/>
        <v>0</v>
      </c>
      <c r="K210" s="826">
        <f t="shared" si="74"/>
        <v>0</v>
      </c>
      <c r="L210" s="826">
        <f t="shared" si="74"/>
        <v>0</v>
      </c>
      <c r="M210" s="826">
        <f t="shared" si="74"/>
        <v>0</v>
      </c>
      <c r="N210" s="826">
        <f t="shared" si="74"/>
        <v>0</v>
      </c>
      <c r="O210" s="826">
        <f>SUM(O211:O217)</f>
        <v>0</v>
      </c>
    </row>
    <row r="211" spans="1:15" ht="15.75" hidden="1">
      <c r="A211" s="507" t="s">
        <v>53</v>
      </c>
      <c r="B211" s="429" t="s">
        <v>138</v>
      </c>
      <c r="C211" s="822">
        <f aca="true" t="shared" si="75" ref="C211:C218">D211+E211+H211+I211+J211+K211+L211+M211+N211+O211</f>
        <v>10</v>
      </c>
      <c r="D211" s="887">
        <v>9</v>
      </c>
      <c r="E211" s="827">
        <f t="shared" si="72"/>
        <v>0</v>
      </c>
      <c r="F211" s="887">
        <v>0</v>
      </c>
      <c r="G211" s="886"/>
      <c r="H211" s="887">
        <v>0</v>
      </c>
      <c r="I211" s="886">
        <v>1</v>
      </c>
      <c r="J211" s="887">
        <v>0</v>
      </c>
      <c r="K211" s="887">
        <v>0</v>
      </c>
      <c r="L211" s="887">
        <v>0</v>
      </c>
      <c r="M211" s="887">
        <v>0</v>
      </c>
      <c r="N211" s="887"/>
      <c r="O211" s="887"/>
    </row>
    <row r="212" spans="1:15" ht="15.75" hidden="1">
      <c r="A212" s="507" t="s">
        <v>54</v>
      </c>
      <c r="B212" s="429" t="s">
        <v>139</v>
      </c>
      <c r="C212" s="822">
        <f t="shared" si="75"/>
        <v>0</v>
      </c>
      <c r="D212" s="887">
        <v>0</v>
      </c>
      <c r="E212" s="827">
        <f t="shared" si="72"/>
        <v>0</v>
      </c>
      <c r="F212" s="887">
        <v>0</v>
      </c>
      <c r="G212" s="886"/>
      <c r="H212" s="887">
        <v>0</v>
      </c>
      <c r="I212" s="887">
        <v>0</v>
      </c>
      <c r="J212" s="887">
        <v>0</v>
      </c>
      <c r="K212" s="887">
        <v>0</v>
      </c>
      <c r="L212" s="887">
        <v>0</v>
      </c>
      <c r="M212" s="887">
        <v>0</v>
      </c>
      <c r="N212" s="887"/>
      <c r="O212" s="887"/>
    </row>
    <row r="213" spans="1:15" ht="15.75" hidden="1">
      <c r="A213" s="507" t="s">
        <v>140</v>
      </c>
      <c r="B213" s="429" t="s">
        <v>141</v>
      </c>
      <c r="C213" s="822">
        <f t="shared" si="75"/>
        <v>12</v>
      </c>
      <c r="D213" s="886">
        <v>7</v>
      </c>
      <c r="E213" s="827">
        <f t="shared" si="72"/>
        <v>1</v>
      </c>
      <c r="F213" s="887">
        <v>0</v>
      </c>
      <c r="G213" s="886">
        <v>1</v>
      </c>
      <c r="H213" s="887"/>
      <c r="I213" s="886">
        <v>4</v>
      </c>
      <c r="J213" s="887"/>
      <c r="K213" s="887"/>
      <c r="L213" s="887"/>
      <c r="M213" s="887"/>
      <c r="N213" s="821"/>
      <c r="O213" s="821"/>
    </row>
    <row r="214" spans="1:15" ht="15.75" hidden="1">
      <c r="A214" s="507" t="s">
        <v>142</v>
      </c>
      <c r="B214" s="429" t="s">
        <v>143</v>
      </c>
      <c r="C214" s="822">
        <f t="shared" si="75"/>
        <v>0</v>
      </c>
      <c r="D214" s="874">
        <v>0</v>
      </c>
      <c r="E214" s="827">
        <f t="shared" si="72"/>
        <v>0</v>
      </c>
      <c r="F214" s="887"/>
      <c r="G214" s="874"/>
      <c r="H214" s="874"/>
      <c r="I214" s="874"/>
      <c r="J214" s="874"/>
      <c r="K214" s="874"/>
      <c r="L214" s="874"/>
      <c r="M214" s="821"/>
      <c r="N214" s="821"/>
      <c r="O214" s="821"/>
    </row>
    <row r="215" spans="1:15" ht="0.75" customHeight="1" hidden="1">
      <c r="A215" s="507" t="s">
        <v>144</v>
      </c>
      <c r="B215" s="429" t="s">
        <v>145</v>
      </c>
      <c r="C215" s="822">
        <f t="shared" si="75"/>
        <v>0</v>
      </c>
      <c r="D215" s="887">
        <v>0</v>
      </c>
      <c r="E215" s="827">
        <f t="shared" si="72"/>
        <v>0</v>
      </c>
      <c r="F215" s="821"/>
      <c r="G215" s="821"/>
      <c r="H215" s="821"/>
      <c r="I215" s="821"/>
      <c r="J215" s="821"/>
      <c r="K215" s="821"/>
      <c r="L215" s="821"/>
      <c r="M215" s="821"/>
      <c r="N215" s="821"/>
      <c r="O215" s="821"/>
    </row>
    <row r="216" spans="1:15" ht="21.75" customHeight="1" hidden="1">
      <c r="A216" s="507" t="s">
        <v>146</v>
      </c>
      <c r="B216" s="431" t="s">
        <v>147</v>
      </c>
      <c r="C216" s="822">
        <f t="shared" si="75"/>
        <v>0</v>
      </c>
      <c r="D216" s="821"/>
      <c r="E216" s="827">
        <f>SUM(F216:G216)</f>
        <v>0</v>
      </c>
      <c r="F216" s="821"/>
      <c r="G216" s="821"/>
      <c r="H216" s="821"/>
      <c r="I216" s="821"/>
      <c r="J216" s="821"/>
      <c r="K216" s="821"/>
      <c r="L216" s="821"/>
      <c r="M216" s="821"/>
      <c r="N216" s="821"/>
      <c r="O216" s="821"/>
    </row>
    <row r="217" spans="1:15" ht="15" hidden="1">
      <c r="A217" s="507" t="s">
        <v>148</v>
      </c>
      <c r="B217" s="429" t="s">
        <v>149</v>
      </c>
      <c r="C217" s="822">
        <f t="shared" si="75"/>
        <v>0</v>
      </c>
      <c r="D217" s="821"/>
      <c r="E217" s="827">
        <f>SUM(F217:G217)</f>
        <v>0</v>
      </c>
      <c r="F217" s="821"/>
      <c r="G217" s="821"/>
      <c r="H217" s="821"/>
      <c r="I217" s="821"/>
      <c r="J217" s="821"/>
      <c r="K217" s="821"/>
      <c r="L217" s="821"/>
      <c r="M217" s="821"/>
      <c r="N217" s="821"/>
      <c r="O217" s="821"/>
    </row>
    <row r="218" spans="1:15" ht="15" hidden="1">
      <c r="A218" s="508" t="s">
        <v>52</v>
      </c>
      <c r="B218" s="394" t="s">
        <v>150</v>
      </c>
      <c r="C218" s="791">
        <f t="shared" si="75"/>
        <v>21</v>
      </c>
      <c r="D218" s="791">
        <f>D209-D210</f>
        <v>13</v>
      </c>
      <c r="E218" s="799">
        <f>SUM(F218:G218)</f>
        <v>3</v>
      </c>
      <c r="F218" s="791">
        <f>F209-F210</f>
        <v>0</v>
      </c>
      <c r="G218" s="791">
        <f>G209-G210</f>
        <v>3</v>
      </c>
      <c r="H218" s="791">
        <f>H209-H210</f>
        <v>0</v>
      </c>
      <c r="I218" s="791">
        <f aca="true" t="shared" si="76" ref="I218:N218">I209-I210</f>
        <v>5</v>
      </c>
      <c r="J218" s="791">
        <f t="shared" si="76"/>
        <v>0</v>
      </c>
      <c r="K218" s="791">
        <f t="shared" si="76"/>
        <v>0</v>
      </c>
      <c r="L218" s="791">
        <f t="shared" si="76"/>
        <v>0</v>
      </c>
      <c r="M218" s="791">
        <f t="shared" si="76"/>
        <v>0</v>
      </c>
      <c r="N218" s="791">
        <f t="shared" si="76"/>
        <v>0</v>
      </c>
      <c r="O218" s="791">
        <f>O204-O210</f>
        <v>0</v>
      </c>
    </row>
    <row r="219" spans="1:15" ht="25.5" hidden="1">
      <c r="A219" s="509" t="s">
        <v>538</v>
      </c>
      <c r="B219" s="432" t="s">
        <v>151</v>
      </c>
      <c r="C219" s="516">
        <f>(C211+C212)/C210</f>
        <v>0.45454545454545453</v>
      </c>
      <c r="D219" s="516">
        <f aca="true" t="shared" si="77" ref="D219:O219">(D211+D212)/D210</f>
        <v>0.5625</v>
      </c>
      <c r="E219" s="516">
        <f t="shared" si="77"/>
        <v>0</v>
      </c>
      <c r="F219" s="516" t="e">
        <f t="shared" si="77"/>
        <v>#DIV/0!</v>
      </c>
      <c r="G219" s="516">
        <f t="shared" si="77"/>
        <v>0</v>
      </c>
      <c r="H219" s="516" t="e">
        <f t="shared" si="77"/>
        <v>#DIV/0!</v>
      </c>
      <c r="I219" s="516">
        <f t="shared" si="77"/>
        <v>0.2</v>
      </c>
      <c r="J219" s="516" t="e">
        <f t="shared" si="77"/>
        <v>#DIV/0!</v>
      </c>
      <c r="K219" s="516" t="e">
        <f t="shared" si="77"/>
        <v>#DIV/0!</v>
      </c>
      <c r="L219" s="516" t="e">
        <f t="shared" si="77"/>
        <v>#DIV/0!</v>
      </c>
      <c r="M219" s="516" t="e">
        <f t="shared" si="77"/>
        <v>#DIV/0!</v>
      </c>
      <c r="N219" s="516" t="e">
        <f t="shared" si="77"/>
        <v>#DIV/0!</v>
      </c>
      <c r="O219" s="516" t="e">
        <f t="shared" si="77"/>
        <v>#DIV/0!</v>
      </c>
    </row>
  </sheetData>
  <sheetProtection/>
  <mergeCells count="152">
    <mergeCell ref="O200:O202"/>
    <mergeCell ref="E201:E202"/>
    <mergeCell ref="F201:G201"/>
    <mergeCell ref="A203:B203"/>
    <mergeCell ref="A199:B202"/>
    <mergeCell ref="C199:C202"/>
    <mergeCell ref="D199:O199"/>
    <mergeCell ref="D200:D202"/>
    <mergeCell ref="K200:K202"/>
    <mergeCell ref="L200:L202"/>
    <mergeCell ref="M200:M202"/>
    <mergeCell ref="N200:N202"/>
    <mergeCell ref="E200:G200"/>
    <mergeCell ref="H200:H202"/>
    <mergeCell ref="I200:I202"/>
    <mergeCell ref="J200:J202"/>
    <mergeCell ref="A179:B179"/>
    <mergeCell ref="A175:B178"/>
    <mergeCell ref="C175:C178"/>
    <mergeCell ref="D175:O175"/>
    <mergeCell ref="D176:D178"/>
    <mergeCell ref="L176:L178"/>
    <mergeCell ref="M176:M178"/>
    <mergeCell ref="N176:N178"/>
    <mergeCell ref="O176:O178"/>
    <mergeCell ref="E176:G176"/>
    <mergeCell ref="H176:H178"/>
    <mergeCell ref="I176:I178"/>
    <mergeCell ref="J176:J178"/>
    <mergeCell ref="E177:E178"/>
    <mergeCell ref="K176:K178"/>
    <mergeCell ref="A156:B156"/>
    <mergeCell ref="F177:G177"/>
    <mergeCell ref="A152:B155"/>
    <mergeCell ref="C152:C155"/>
    <mergeCell ref="D152:O152"/>
    <mergeCell ref="D153:D155"/>
    <mergeCell ref="N153:N155"/>
    <mergeCell ref="O153:O155"/>
    <mergeCell ref="E154:E155"/>
    <mergeCell ref="F154:G154"/>
    <mergeCell ref="E153:G153"/>
    <mergeCell ref="H153:H155"/>
    <mergeCell ref="A133:B133"/>
    <mergeCell ref="A129:B132"/>
    <mergeCell ref="C129:C132"/>
    <mergeCell ref="D129:O129"/>
    <mergeCell ref="D130:D132"/>
    <mergeCell ref="O130:O132"/>
    <mergeCell ref="E131:E132"/>
    <mergeCell ref="F131:G131"/>
    <mergeCell ref="E130:G130"/>
    <mergeCell ref="H130:H132"/>
    <mergeCell ref="I153:I155"/>
    <mergeCell ref="J153:J155"/>
    <mergeCell ref="L153:L155"/>
    <mergeCell ref="M153:M155"/>
    <mergeCell ref="K130:K132"/>
    <mergeCell ref="L130:L132"/>
    <mergeCell ref="M130:M132"/>
    <mergeCell ref="K153:K155"/>
    <mergeCell ref="I130:I132"/>
    <mergeCell ref="J130:J132"/>
    <mergeCell ref="O107:O109"/>
    <mergeCell ref="N107:N109"/>
    <mergeCell ref="N130:N132"/>
    <mergeCell ref="A110:B110"/>
    <mergeCell ref="A106:B109"/>
    <mergeCell ref="C106:C109"/>
    <mergeCell ref="D106:O106"/>
    <mergeCell ref="D107:D109"/>
    <mergeCell ref="K107:K109"/>
    <mergeCell ref="L107:L109"/>
    <mergeCell ref="M107:M109"/>
    <mergeCell ref="E107:G107"/>
    <mergeCell ref="H107:H109"/>
    <mergeCell ref="I107:I109"/>
    <mergeCell ref="J107:J109"/>
    <mergeCell ref="E108:E109"/>
    <mergeCell ref="F108:G108"/>
    <mergeCell ref="O84:O86"/>
    <mergeCell ref="E85:E86"/>
    <mergeCell ref="F85:G85"/>
    <mergeCell ref="A87:B87"/>
    <mergeCell ref="A83:B86"/>
    <mergeCell ref="C83:C86"/>
    <mergeCell ref="D83:O83"/>
    <mergeCell ref="D84:D86"/>
    <mergeCell ref="K84:K86"/>
    <mergeCell ref="L84:L86"/>
    <mergeCell ref="M84:M86"/>
    <mergeCell ref="N84:N86"/>
    <mergeCell ref="E84:G84"/>
    <mergeCell ref="H84:H86"/>
    <mergeCell ref="I84:I86"/>
    <mergeCell ref="J84:J86"/>
    <mergeCell ref="O61:O63"/>
    <mergeCell ref="E62:E63"/>
    <mergeCell ref="F62:G62"/>
    <mergeCell ref="A64:B64"/>
    <mergeCell ref="A60:B63"/>
    <mergeCell ref="C60:C63"/>
    <mergeCell ref="D60:O60"/>
    <mergeCell ref="D61:D63"/>
    <mergeCell ref="K61:K63"/>
    <mergeCell ref="L61:L63"/>
    <mergeCell ref="M61:M63"/>
    <mergeCell ref="N61:N63"/>
    <mergeCell ref="E61:G61"/>
    <mergeCell ref="H61:H63"/>
    <mergeCell ref="I61:I63"/>
    <mergeCell ref="J61:J63"/>
    <mergeCell ref="A40:B40"/>
    <mergeCell ref="A36:B39"/>
    <mergeCell ref="C36:C39"/>
    <mergeCell ref="D36:O36"/>
    <mergeCell ref="D37:D39"/>
    <mergeCell ref="K37:K39"/>
    <mergeCell ref="L37:L39"/>
    <mergeCell ref="H37:H39"/>
    <mergeCell ref="I37:I39"/>
    <mergeCell ref="J37:J39"/>
    <mergeCell ref="O7:O9"/>
    <mergeCell ref="L7:L9"/>
    <mergeCell ref="I7:I9"/>
    <mergeCell ref="E7:G7"/>
    <mergeCell ref="O37:O39"/>
    <mergeCell ref="E38:E39"/>
    <mergeCell ref="F38:G38"/>
    <mergeCell ref="M37:M39"/>
    <mergeCell ref="N37:N39"/>
    <mergeCell ref="E37:G37"/>
    <mergeCell ref="H7:H9"/>
    <mergeCell ref="J7:J9"/>
    <mergeCell ref="K7:K9"/>
    <mergeCell ref="D7:D9"/>
    <mergeCell ref="A1:B1"/>
    <mergeCell ref="D1:K1"/>
    <mergeCell ref="D2:K2"/>
    <mergeCell ref="A6:B9"/>
    <mergeCell ref="C6:C9"/>
    <mergeCell ref="D3:K3"/>
    <mergeCell ref="L1:O1"/>
    <mergeCell ref="L2:O2"/>
    <mergeCell ref="L3:O3"/>
    <mergeCell ref="M7:M9"/>
    <mergeCell ref="L4:O4"/>
    <mergeCell ref="A10:B10"/>
    <mergeCell ref="F8:G8"/>
    <mergeCell ref="E8:E9"/>
    <mergeCell ref="D6:O6"/>
    <mergeCell ref="N7:N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zoomScale="80" zoomScaleNormal="80" zoomScaleSheetLayoutView="85" zoomScalePageLayoutView="0" workbookViewId="0" topLeftCell="A13">
      <selection activeCell="E28" sqref="E28"/>
    </sheetView>
  </sheetViews>
  <sheetFormatPr defaultColWidth="9.00390625" defaultRowHeight="15.75"/>
  <cols>
    <col min="1" max="1" width="4.25390625" style="423" customWidth="1"/>
    <col min="2" max="2" width="47.375" style="423" customWidth="1"/>
    <col min="3" max="3" width="39.75390625" style="423" customWidth="1"/>
    <col min="4" max="16384" width="9.00390625" style="423" customWidth="1"/>
  </cols>
  <sheetData>
    <row r="1" spans="1:3" s="435" customFormat="1" ht="39.75" customHeight="1">
      <c r="A1" s="1616" t="s">
        <v>554</v>
      </c>
      <c r="B1" s="1617"/>
      <c r="C1" s="1617"/>
    </row>
    <row r="2" spans="1:3" ht="21" customHeight="1">
      <c r="A2" s="1618" t="s">
        <v>69</v>
      </c>
      <c r="B2" s="1619"/>
      <c r="C2" s="439" t="s">
        <v>338</v>
      </c>
    </row>
    <row r="3" spans="1:3" s="442" customFormat="1" ht="15" customHeight="1">
      <c r="A3" s="1620" t="s">
        <v>6</v>
      </c>
      <c r="B3" s="1621"/>
      <c r="C3" s="441">
        <v>1</v>
      </c>
    </row>
    <row r="4" spans="1:3" s="443" customFormat="1" ht="19.5" customHeight="1">
      <c r="A4" s="440" t="s">
        <v>51</v>
      </c>
      <c r="B4" s="521" t="s">
        <v>552</v>
      </c>
      <c r="C4" s="402">
        <f>C5+C6+C7+C8+C9+C10+C11+C12+C13</f>
        <v>25</v>
      </c>
    </row>
    <row r="5" spans="1:3" s="26" customFormat="1" ht="19.5" customHeight="1">
      <c r="A5" s="444" t="s">
        <v>53</v>
      </c>
      <c r="B5" s="522" t="s">
        <v>167</v>
      </c>
      <c r="C5" s="406"/>
    </row>
    <row r="6" spans="1:3" s="26" customFormat="1" ht="19.5" customHeight="1">
      <c r="A6" s="445" t="s">
        <v>54</v>
      </c>
      <c r="B6" s="522" t="s">
        <v>169</v>
      </c>
      <c r="C6" s="406"/>
    </row>
    <row r="7" spans="1:3" s="26" customFormat="1" ht="19.5" customHeight="1">
      <c r="A7" s="445" t="s">
        <v>140</v>
      </c>
      <c r="B7" s="522" t="s">
        <v>179</v>
      </c>
      <c r="C7" s="406">
        <f>1</f>
        <v>1</v>
      </c>
    </row>
    <row r="8" spans="1:3" s="26" customFormat="1" ht="19.5" customHeight="1">
      <c r="A8" s="445" t="s">
        <v>142</v>
      </c>
      <c r="B8" s="522" t="s">
        <v>171</v>
      </c>
      <c r="C8" s="406">
        <v>24</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558</v>
      </c>
      <c r="B13" s="522" t="s">
        <v>159</v>
      </c>
      <c r="C13" s="406"/>
    </row>
    <row r="14" spans="1:3" s="446" customFormat="1" ht="19.5" customHeight="1">
      <c r="A14" s="440" t="s">
        <v>52</v>
      </c>
      <c r="B14" s="521" t="s">
        <v>550</v>
      </c>
      <c r="C14" s="402">
        <f>C15+C16</f>
        <v>0</v>
      </c>
    </row>
    <row r="15" spans="1:3" s="446" customFormat="1" ht="19.5" customHeight="1">
      <c r="A15" s="444" t="s">
        <v>55</v>
      </c>
      <c r="B15" s="522" t="s">
        <v>187</v>
      </c>
      <c r="C15" s="406"/>
    </row>
    <row r="16" spans="1:3" s="446" customFormat="1" ht="19.5" customHeight="1">
      <c r="A16" s="444" t="s">
        <v>56</v>
      </c>
      <c r="B16" s="522" t="s">
        <v>159</v>
      </c>
      <c r="C16" s="406"/>
    </row>
    <row r="17" spans="1:3" s="443" customFormat="1" ht="19.5" customHeight="1">
      <c r="A17" s="440" t="s">
        <v>57</v>
      </c>
      <c r="B17" s="521" t="s">
        <v>149</v>
      </c>
      <c r="C17" s="402">
        <f>C18+C19+C20</f>
        <v>5</v>
      </c>
    </row>
    <row r="18" spans="1:3" s="26" customFormat="1" ht="19.5" customHeight="1">
      <c r="A18" s="444" t="s">
        <v>160</v>
      </c>
      <c r="B18" s="522" t="s">
        <v>188</v>
      </c>
      <c r="C18" s="406">
        <f>1+3</f>
        <v>4</v>
      </c>
    </row>
    <row r="19" spans="1:3" s="26" customFormat="1" ht="30">
      <c r="A19" s="445" t="s">
        <v>162</v>
      </c>
      <c r="B19" s="522" t="s">
        <v>163</v>
      </c>
      <c r="C19" s="406">
        <f>1</f>
        <v>1</v>
      </c>
    </row>
    <row r="20" spans="1:3" s="26" customFormat="1" ht="33.75" customHeight="1">
      <c r="A20" s="445" t="s">
        <v>164</v>
      </c>
      <c r="B20" s="522" t="s">
        <v>165</v>
      </c>
      <c r="C20" s="406"/>
    </row>
    <row r="21" spans="1:3" s="26" customFormat="1" ht="19.5" customHeight="1">
      <c r="A21" s="440" t="s">
        <v>72</v>
      </c>
      <c r="B21" s="521" t="s">
        <v>547</v>
      </c>
      <c r="C21" s="402">
        <f>C22+C23+C24+C25+C26+C27+C28</f>
        <v>10</v>
      </c>
    </row>
    <row r="22" spans="1:3" s="26" customFormat="1" ht="19.5" customHeight="1">
      <c r="A22" s="445" t="s">
        <v>166</v>
      </c>
      <c r="B22" s="522" t="s">
        <v>167</v>
      </c>
      <c r="C22" s="406">
        <f>1+1</f>
        <v>2</v>
      </c>
    </row>
    <row r="23" spans="1:3" s="26" customFormat="1" ht="19.5" customHeight="1">
      <c r="A23" s="445" t="s">
        <v>168</v>
      </c>
      <c r="B23" s="522" t="s">
        <v>169</v>
      </c>
      <c r="C23" s="406"/>
    </row>
    <row r="24" spans="1:3" s="26" customFormat="1" ht="19.5" customHeight="1">
      <c r="A24" s="445" t="s">
        <v>170</v>
      </c>
      <c r="B24" s="522" t="s">
        <v>189</v>
      </c>
      <c r="C24" s="406">
        <f>1+5+2</f>
        <v>8</v>
      </c>
    </row>
    <row r="25" spans="1:3" s="26" customFormat="1" ht="19.5" customHeight="1">
      <c r="A25" s="445" t="s">
        <v>172</v>
      </c>
      <c r="B25" s="522" t="s">
        <v>154</v>
      </c>
      <c r="C25" s="406"/>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551</v>
      </c>
      <c r="C29" s="402">
        <f>C30+C31+C32</f>
        <v>467</v>
      </c>
    </row>
    <row r="30" spans="1:3" ht="19.5" customHeight="1">
      <c r="A30" s="445" t="s">
        <v>176</v>
      </c>
      <c r="B30" s="522" t="s">
        <v>167</v>
      </c>
      <c r="C30" s="406">
        <v>466</v>
      </c>
    </row>
    <row r="31" spans="1:4" s="26" customFormat="1" ht="19.5" customHeight="1">
      <c r="A31" s="445" t="s">
        <v>177</v>
      </c>
      <c r="B31" s="522" t="s">
        <v>169</v>
      </c>
      <c r="C31" s="1151"/>
      <c r="D31" s="1152"/>
    </row>
    <row r="32" spans="1:3" s="26" customFormat="1" ht="19.5" customHeight="1">
      <c r="A32" s="445" t="s">
        <v>178</v>
      </c>
      <c r="B32" s="522" t="s">
        <v>189</v>
      </c>
      <c r="C32" s="406">
        <f>1</f>
        <v>1</v>
      </c>
    </row>
    <row r="33" spans="1:3" s="26" customFormat="1" ht="25.5" customHeight="1">
      <c r="A33" s="1622" t="str">
        <f>'Thong tin'!B8</f>
        <v>Tuyên Quang, ngày 05 tháng 04 năm 2018</v>
      </c>
      <c r="B33" s="1622"/>
      <c r="C33" s="1622"/>
    </row>
    <row r="34" spans="1:3" s="26" customFormat="1" ht="18.75">
      <c r="A34" s="1615" t="s">
        <v>4</v>
      </c>
      <c r="B34" s="1615"/>
      <c r="C34" s="523" t="str">
        <f>'Thong tin'!B7</f>
        <v>CỤC TRƯỞNG</v>
      </c>
    </row>
    <row r="35" spans="1:3" s="26" customFormat="1" ht="18.75">
      <c r="A35" s="524"/>
      <c r="B35" s="525"/>
      <c r="C35" s="525"/>
    </row>
    <row r="36" spans="1:3" s="26" customFormat="1" ht="15.75">
      <c r="A36" s="524"/>
      <c r="B36" s="526"/>
      <c r="C36" s="526"/>
    </row>
    <row r="37" spans="1:3" s="26" customFormat="1" ht="15.75">
      <c r="A37" s="524"/>
      <c r="B37" s="524"/>
      <c r="C37" s="524"/>
    </row>
    <row r="38" spans="1:3" ht="15.75">
      <c r="A38" s="527"/>
      <c r="B38" s="528"/>
      <c r="C38" s="529"/>
    </row>
    <row r="39" spans="1:3" ht="15.75">
      <c r="A39" s="530"/>
      <c r="B39" s="529"/>
      <c r="C39" s="530"/>
    </row>
    <row r="40" spans="1:3" s="443" customFormat="1" ht="18.75">
      <c r="A40" s="1614" t="str">
        <f>'Thong tin'!B5</f>
        <v>Duy Thị Thúy</v>
      </c>
      <c r="B40" s="1614"/>
      <c r="C40" s="531" t="str">
        <f>'Thong tin'!B6</f>
        <v>Nguyễn Tuyên </v>
      </c>
    </row>
  </sheetData>
  <sheetProtection/>
  <mergeCells count="6">
    <mergeCell ref="A40:B40"/>
    <mergeCell ref="A34:B34"/>
    <mergeCell ref="A1:C1"/>
    <mergeCell ref="A2:B2"/>
    <mergeCell ref="A3:B3"/>
    <mergeCell ref="A33:C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29"/>
  <sheetViews>
    <sheetView showZeros="0" zoomScaleSheetLayoutView="85" zoomScalePageLayoutView="0" workbookViewId="0" topLeftCell="A19">
      <selection activeCell="B239" sqref="B239"/>
    </sheetView>
  </sheetViews>
  <sheetFormatPr defaultColWidth="9.00390625" defaultRowHeight="15.75"/>
  <cols>
    <col min="1" max="1" width="4.125" style="435" customWidth="1"/>
    <col min="2" max="2" width="26.375" style="388" customWidth="1"/>
    <col min="3" max="3" width="12.25390625" style="388" customWidth="1"/>
    <col min="4" max="4" width="9.375" style="388" customWidth="1"/>
    <col min="5" max="5" width="11.00390625" style="388" customWidth="1"/>
    <col min="6" max="6" width="9.50390625" style="388" bestFit="1" customWidth="1"/>
    <col min="7" max="7" width="10.00390625" style="388" customWidth="1"/>
    <col min="8" max="9" width="8.25390625" style="388" customWidth="1"/>
    <col min="10" max="10" width="9.625" style="388" customWidth="1"/>
    <col min="11" max="11" width="7.25390625" style="388" customWidth="1"/>
    <col min="12" max="12" width="6.75390625" style="388" customWidth="1"/>
    <col min="13" max="13" width="5.875" style="388" customWidth="1"/>
    <col min="14" max="14" width="9.50390625" style="388" customWidth="1"/>
    <col min="15" max="16384" width="9.00390625" style="388" customWidth="1"/>
  </cols>
  <sheetData>
    <row r="1" spans="1:15" ht="23.25" customHeight="1">
      <c r="A1" s="1625" t="s">
        <v>30</v>
      </c>
      <c r="B1" s="1625"/>
      <c r="C1" s="451"/>
      <c r="D1" s="452" t="s">
        <v>193</v>
      </c>
      <c r="E1" s="452"/>
      <c r="F1" s="452"/>
      <c r="G1" s="452"/>
      <c r="H1" s="452"/>
      <c r="I1" s="452"/>
      <c r="J1" s="453"/>
      <c r="K1" s="419"/>
      <c r="L1" s="421" t="s">
        <v>540</v>
      </c>
      <c r="M1" s="433"/>
      <c r="N1" s="414"/>
      <c r="O1" s="414"/>
    </row>
    <row r="2" spans="1:15" ht="16.5" customHeight="1">
      <c r="A2" s="1626" t="s">
        <v>342</v>
      </c>
      <c r="B2" s="1626"/>
      <c r="C2" s="1626"/>
      <c r="D2" s="1598" t="s">
        <v>117</v>
      </c>
      <c r="E2" s="1598"/>
      <c r="F2" s="1598"/>
      <c r="G2" s="1598"/>
      <c r="H2" s="1598"/>
      <c r="I2" s="1598"/>
      <c r="J2" s="452"/>
      <c r="K2" s="421"/>
      <c r="L2" s="454" t="str">
        <f>'Thong tin'!B4</f>
        <v>Cục THADS tỉnh Tuyên Quang</v>
      </c>
      <c r="M2" s="421"/>
      <c r="N2" s="414"/>
      <c r="O2" s="424"/>
    </row>
    <row r="3" spans="1:15" ht="16.5" customHeight="1">
      <c r="A3" s="1626" t="s">
        <v>343</v>
      </c>
      <c r="B3" s="1626"/>
      <c r="C3" s="414"/>
      <c r="D3" s="1592" t="str">
        <f>'Thong tin'!B3</f>
        <v>06 tháng / năm 2018</v>
      </c>
      <c r="E3" s="1592"/>
      <c r="F3" s="1592"/>
      <c r="G3" s="1592"/>
      <c r="H3" s="1592"/>
      <c r="I3" s="1592"/>
      <c r="J3" s="455"/>
      <c r="K3" s="419"/>
      <c r="L3" s="421" t="s">
        <v>507</v>
      </c>
      <c r="M3" s="433"/>
      <c r="N3" s="414"/>
      <c r="O3" s="456"/>
    </row>
    <row r="4" spans="1:15" ht="16.5" customHeight="1">
      <c r="A4" s="433" t="s">
        <v>118</v>
      </c>
      <c r="B4" s="433"/>
      <c r="C4" s="420"/>
      <c r="D4" s="421"/>
      <c r="E4" s="421"/>
      <c r="F4" s="420"/>
      <c r="G4" s="422"/>
      <c r="H4" s="422"/>
      <c r="I4" s="422"/>
      <c r="J4" s="420"/>
      <c r="K4" s="421"/>
      <c r="L4" s="454" t="s">
        <v>410</v>
      </c>
      <c r="M4" s="421"/>
      <c r="N4" s="414"/>
      <c r="O4" s="456"/>
    </row>
    <row r="5" spans="1:15" ht="16.5" customHeight="1">
      <c r="A5" s="423"/>
      <c r="B5" s="420"/>
      <c r="C5" s="457"/>
      <c r="D5" s="420"/>
      <c r="E5" s="420"/>
      <c r="F5" s="424"/>
      <c r="G5" s="425"/>
      <c r="H5" s="425"/>
      <c r="I5" s="425"/>
      <c r="J5" s="424"/>
      <c r="K5" s="426"/>
      <c r="L5" s="426" t="s">
        <v>194</v>
      </c>
      <c r="M5" s="426"/>
      <c r="N5" s="414"/>
      <c r="O5" s="456"/>
    </row>
    <row r="6" spans="1:15" ht="18.75" customHeight="1">
      <c r="A6" s="1573" t="s">
        <v>68</v>
      </c>
      <c r="B6" s="1574"/>
      <c r="C6" s="1596" t="s">
        <v>37</v>
      </c>
      <c r="D6" s="1582" t="s">
        <v>336</v>
      </c>
      <c r="E6" s="1583"/>
      <c r="F6" s="1583"/>
      <c r="G6" s="1583"/>
      <c r="H6" s="1583"/>
      <c r="I6" s="1583"/>
      <c r="J6" s="1583"/>
      <c r="K6" s="1583"/>
      <c r="L6" s="1583"/>
      <c r="M6" s="1583"/>
      <c r="N6" s="1584"/>
      <c r="O6" s="458"/>
    </row>
    <row r="7" spans="1:15" ht="27" customHeight="1">
      <c r="A7" s="1575"/>
      <c r="B7" s="1576"/>
      <c r="C7" s="1596"/>
      <c r="D7" s="1569" t="s">
        <v>195</v>
      </c>
      <c r="E7" s="1593" t="s">
        <v>196</v>
      </c>
      <c r="F7" s="1594"/>
      <c r="G7" s="1595"/>
      <c r="H7" s="1569" t="s">
        <v>197</v>
      </c>
      <c r="I7" s="1569" t="s">
        <v>122</v>
      </c>
      <c r="J7" s="1569" t="s">
        <v>198</v>
      </c>
      <c r="K7" s="1569" t="s">
        <v>124</v>
      </c>
      <c r="L7" s="1569" t="s">
        <v>125</v>
      </c>
      <c r="M7" s="1569" t="s">
        <v>126</v>
      </c>
      <c r="N7" s="1611" t="s">
        <v>127</v>
      </c>
      <c r="O7" s="456"/>
    </row>
    <row r="8" spans="1:15" ht="18" customHeight="1">
      <c r="A8" s="1575"/>
      <c r="B8" s="1576"/>
      <c r="C8" s="1596"/>
      <c r="D8" s="1569"/>
      <c r="E8" s="1568" t="s">
        <v>36</v>
      </c>
      <c r="F8" s="1571" t="s">
        <v>7</v>
      </c>
      <c r="G8" s="1572"/>
      <c r="H8" s="1569"/>
      <c r="I8" s="1569"/>
      <c r="J8" s="1569"/>
      <c r="K8" s="1569"/>
      <c r="L8" s="1569"/>
      <c r="M8" s="1569"/>
      <c r="N8" s="1611"/>
      <c r="O8" s="459"/>
    </row>
    <row r="9" spans="1:15" ht="26.25" customHeight="1">
      <c r="A9" s="1577"/>
      <c r="B9" s="1578"/>
      <c r="C9" s="1596"/>
      <c r="D9" s="1570"/>
      <c r="E9" s="1570"/>
      <c r="F9" s="559" t="s">
        <v>199</v>
      </c>
      <c r="G9" s="560" t="s">
        <v>200</v>
      </c>
      <c r="H9" s="1570"/>
      <c r="I9" s="1570"/>
      <c r="J9" s="1570"/>
      <c r="K9" s="1570"/>
      <c r="L9" s="1570"/>
      <c r="M9" s="1570"/>
      <c r="N9" s="1611"/>
      <c r="O9" s="459"/>
    </row>
    <row r="10" spans="1:15" s="462" customFormat="1" ht="20.25" customHeight="1">
      <c r="A10" s="1623" t="s">
        <v>39</v>
      </c>
      <c r="B10" s="1624"/>
      <c r="C10" s="460">
        <v>1</v>
      </c>
      <c r="D10" s="460">
        <v>2</v>
      </c>
      <c r="E10" s="460">
        <v>3</v>
      </c>
      <c r="F10" s="460">
        <v>4</v>
      </c>
      <c r="G10" s="460">
        <v>5</v>
      </c>
      <c r="H10" s="460">
        <v>6</v>
      </c>
      <c r="I10" s="460">
        <v>7</v>
      </c>
      <c r="J10" s="460">
        <v>8</v>
      </c>
      <c r="K10" s="460">
        <v>9</v>
      </c>
      <c r="L10" s="460">
        <v>10</v>
      </c>
      <c r="M10" s="460">
        <v>11</v>
      </c>
      <c r="N10" s="460">
        <v>12</v>
      </c>
      <c r="O10" s="461"/>
    </row>
    <row r="11" spans="1:15" ht="21" customHeight="1">
      <c r="A11" s="506" t="s">
        <v>0</v>
      </c>
      <c r="B11" s="427" t="s">
        <v>130</v>
      </c>
      <c r="C11" s="791">
        <f aca="true" t="shared" si="0" ref="C11:C16">SUM(D11,E11,H11:N11)</f>
        <v>14492549</v>
      </c>
      <c r="D11" s="799">
        <f>SUM(D12:D13)</f>
        <v>1958960</v>
      </c>
      <c r="E11" s="799">
        <f aca="true" t="shared" si="1" ref="E11:N11">SUM(E12:E13)</f>
        <v>10824099</v>
      </c>
      <c r="F11" s="799">
        <f t="shared" si="1"/>
        <v>1317492</v>
      </c>
      <c r="G11" s="799">
        <f t="shared" si="1"/>
        <v>9506607</v>
      </c>
      <c r="H11" s="799">
        <f t="shared" si="1"/>
        <v>1900</v>
      </c>
      <c r="I11" s="799">
        <f t="shared" si="1"/>
        <v>505167</v>
      </c>
      <c r="J11" s="799">
        <f t="shared" si="1"/>
        <v>528155</v>
      </c>
      <c r="K11" s="799">
        <f>SUM(K12:K13)</f>
        <v>1724</v>
      </c>
      <c r="L11" s="799">
        <f t="shared" si="1"/>
        <v>0</v>
      </c>
      <c r="M11" s="799">
        <f t="shared" si="1"/>
        <v>0</v>
      </c>
      <c r="N11" s="799">
        <f t="shared" si="1"/>
        <v>672544</v>
      </c>
      <c r="O11" s="458"/>
    </row>
    <row r="12" spans="1:15" ht="21" customHeight="1">
      <c r="A12" s="507">
        <v>1</v>
      </c>
      <c r="B12" s="429" t="s">
        <v>131</v>
      </c>
      <c r="C12" s="796">
        <f>SUM(D12,E12,H12:N12)</f>
        <v>10562861</v>
      </c>
      <c r="D12" s="406">
        <f>D45+D69+D93+D117+D142+D166+D190+D214</f>
        <v>1314603</v>
      </c>
      <c r="E12" s="801">
        <f>SUM(F12:G12)</f>
        <v>8970137</v>
      </c>
      <c r="F12" s="406">
        <f>F45+F69+F93+F117+F142+F166+F190+F214</f>
        <v>1196338</v>
      </c>
      <c r="G12" s="406">
        <f aca="true" t="shared" si="2" ref="G12:N12">G45+G69+G93+G117+G142+G166+G190+G214</f>
        <v>7773799</v>
      </c>
      <c r="H12" s="406">
        <f t="shared" si="2"/>
        <v>0</v>
      </c>
      <c r="I12" s="406">
        <f t="shared" si="2"/>
        <v>206538</v>
      </c>
      <c r="J12" s="406">
        <f t="shared" si="2"/>
        <v>49658</v>
      </c>
      <c r="K12" s="406">
        <f t="shared" si="2"/>
        <v>1724</v>
      </c>
      <c r="L12" s="406">
        <f t="shared" si="2"/>
        <v>0</v>
      </c>
      <c r="M12" s="406">
        <f t="shared" si="2"/>
        <v>0</v>
      </c>
      <c r="N12" s="406">
        <f t="shared" si="2"/>
        <v>20201</v>
      </c>
      <c r="O12" s="456"/>
    </row>
    <row r="13" spans="1:15" ht="21" customHeight="1">
      <c r="A13" s="507">
        <v>2</v>
      </c>
      <c r="B13" s="429" t="s">
        <v>132</v>
      </c>
      <c r="C13" s="796">
        <f t="shared" si="0"/>
        <v>3929688</v>
      </c>
      <c r="D13" s="406">
        <f>D46+D70+D94+D118+D143+D167+D191+D215</f>
        <v>644357</v>
      </c>
      <c r="E13" s="801">
        <f>SUM(F13:G13)</f>
        <v>1853962</v>
      </c>
      <c r="F13" s="406">
        <f aca="true" t="shared" si="3" ref="F13:N14">F46+F70+F94+F118+F143+F167+F191+F215</f>
        <v>121154</v>
      </c>
      <c r="G13" s="406">
        <f t="shared" si="3"/>
        <v>1732808</v>
      </c>
      <c r="H13" s="820">
        <f t="shared" si="3"/>
        <v>1900</v>
      </c>
      <c r="I13" s="406">
        <f t="shared" si="3"/>
        <v>298629</v>
      </c>
      <c r="J13" s="406">
        <f t="shared" si="3"/>
        <v>478497</v>
      </c>
      <c r="K13" s="406">
        <f t="shared" si="3"/>
        <v>0</v>
      </c>
      <c r="L13" s="406">
        <f t="shared" si="3"/>
        <v>0</v>
      </c>
      <c r="M13" s="406">
        <f t="shared" si="3"/>
        <v>0</v>
      </c>
      <c r="N13" s="406">
        <f t="shared" si="3"/>
        <v>652343</v>
      </c>
      <c r="O13" s="456"/>
    </row>
    <row r="14" spans="1:15" ht="21" customHeight="1">
      <c r="A14" s="508" t="s">
        <v>1</v>
      </c>
      <c r="B14" s="394" t="s">
        <v>133</v>
      </c>
      <c r="C14" s="796">
        <f t="shared" si="0"/>
        <v>233618</v>
      </c>
      <c r="D14" s="406">
        <f>D47+D71+D95+D119+D144+D168+D192+D216</f>
        <v>104782</v>
      </c>
      <c r="E14" s="801">
        <f>SUM(F14:G14)</f>
        <v>128686</v>
      </c>
      <c r="F14" s="406">
        <f t="shared" si="3"/>
        <v>2300</v>
      </c>
      <c r="G14" s="406">
        <f t="shared" si="3"/>
        <v>126386</v>
      </c>
      <c r="H14" s="406">
        <f t="shared" si="3"/>
        <v>0</v>
      </c>
      <c r="I14" s="406">
        <f t="shared" si="3"/>
        <v>150</v>
      </c>
      <c r="J14" s="406">
        <f t="shared" si="3"/>
        <v>0</v>
      </c>
      <c r="K14" s="406">
        <f t="shared" si="3"/>
        <v>0</v>
      </c>
      <c r="L14" s="406">
        <f t="shared" si="3"/>
        <v>0</v>
      </c>
      <c r="M14" s="406">
        <f t="shared" si="3"/>
        <v>0</v>
      </c>
      <c r="N14" s="406">
        <f t="shared" si="3"/>
        <v>0</v>
      </c>
      <c r="O14" s="456"/>
    </row>
    <row r="15" spans="1:15" ht="21" customHeight="1">
      <c r="A15" s="508" t="s">
        <v>9</v>
      </c>
      <c r="B15" s="394" t="s">
        <v>134</v>
      </c>
      <c r="C15" s="796">
        <f t="shared" si="0"/>
        <v>0</v>
      </c>
      <c r="D15" s="406"/>
      <c r="E15" s="801">
        <f>SUM(F15:G15)</f>
        <v>0</v>
      </c>
      <c r="F15" s="406"/>
      <c r="G15" s="406"/>
      <c r="H15" s="406"/>
      <c r="I15" s="406"/>
      <c r="J15" s="406"/>
      <c r="K15" s="406"/>
      <c r="L15" s="406"/>
      <c r="M15" s="406"/>
      <c r="N15" s="406"/>
      <c r="O15" s="456"/>
    </row>
    <row r="16" spans="1:15" ht="21" customHeight="1">
      <c r="A16" s="508" t="s">
        <v>135</v>
      </c>
      <c r="B16" s="394" t="s">
        <v>136</v>
      </c>
      <c r="C16" s="791">
        <f t="shared" si="0"/>
        <v>14258931</v>
      </c>
      <c r="D16" s="792">
        <f>D11-SUM(D14,D15)</f>
        <v>1854178</v>
      </c>
      <c r="E16" s="792">
        <f aca="true" t="shared" si="4" ref="E16:N16">E11-SUM(E14,E15)</f>
        <v>10695413</v>
      </c>
      <c r="F16" s="792">
        <f t="shared" si="4"/>
        <v>1315192</v>
      </c>
      <c r="G16" s="792">
        <f t="shared" si="4"/>
        <v>9380221</v>
      </c>
      <c r="H16" s="792">
        <f t="shared" si="4"/>
        <v>1900</v>
      </c>
      <c r="I16" s="792">
        <f t="shared" si="4"/>
        <v>505017</v>
      </c>
      <c r="J16" s="792">
        <f t="shared" si="4"/>
        <v>528155</v>
      </c>
      <c r="K16" s="792">
        <f t="shared" si="4"/>
        <v>1724</v>
      </c>
      <c r="L16" s="792">
        <f t="shared" si="4"/>
        <v>0</v>
      </c>
      <c r="M16" s="792">
        <f t="shared" si="4"/>
        <v>0</v>
      </c>
      <c r="N16" s="792">
        <f t="shared" si="4"/>
        <v>672544</v>
      </c>
      <c r="O16" s="458"/>
    </row>
    <row r="17" spans="1:15" ht="21" customHeight="1">
      <c r="A17" s="508" t="s">
        <v>51</v>
      </c>
      <c r="B17" s="430" t="s">
        <v>137</v>
      </c>
      <c r="C17" s="800">
        <f aca="true" t="shared" si="5" ref="C17:N17">SUM(C18:C25)</f>
        <v>4831417</v>
      </c>
      <c r="D17" s="800">
        <f t="shared" si="5"/>
        <v>960974</v>
      </c>
      <c r="E17" s="800">
        <f>SUM(E18:E25)</f>
        <v>2314045</v>
      </c>
      <c r="F17" s="800">
        <f t="shared" si="5"/>
        <v>182241</v>
      </c>
      <c r="G17" s="800">
        <f t="shared" si="5"/>
        <v>2131804</v>
      </c>
      <c r="H17" s="800">
        <f t="shared" si="5"/>
        <v>1900</v>
      </c>
      <c r="I17" s="800">
        <f t="shared" si="5"/>
        <v>403657</v>
      </c>
      <c r="J17" s="800">
        <f t="shared" si="5"/>
        <v>478497</v>
      </c>
      <c r="K17" s="800">
        <f t="shared" si="5"/>
        <v>0</v>
      </c>
      <c r="L17" s="800">
        <f t="shared" si="5"/>
        <v>0</v>
      </c>
      <c r="M17" s="800">
        <f t="shared" si="5"/>
        <v>0</v>
      </c>
      <c r="N17" s="800">
        <f t="shared" si="5"/>
        <v>672344</v>
      </c>
      <c r="O17" s="453"/>
    </row>
    <row r="18" spans="1:15" ht="21" customHeight="1">
      <c r="A18" s="507" t="s">
        <v>53</v>
      </c>
      <c r="B18" s="429" t="s">
        <v>138</v>
      </c>
      <c r="C18" s="796">
        <f>SUM(C51+C75+C99+C123+C148+C172+C196+C220)</f>
        <v>3258206</v>
      </c>
      <c r="D18" s="406">
        <f>D51+D75+D99+D123+D148+D172+D196+D220</f>
        <v>420453</v>
      </c>
      <c r="E18" s="801">
        <f aca="true" t="shared" si="6" ref="E18:E23">SUM(F18:G18)</f>
        <v>1435373</v>
      </c>
      <c r="F18" s="406">
        <f>F51+F75+F99+F123+F148+F172+F196+F220</f>
        <v>87481</v>
      </c>
      <c r="G18" s="406">
        <f aca="true" t="shared" si="7" ref="G18:N18">G51+G75+G99+G123+G148+G172+G196+G220</f>
        <v>1347892</v>
      </c>
      <c r="H18" s="406">
        <f t="shared" si="7"/>
        <v>1550</v>
      </c>
      <c r="I18" s="406">
        <f t="shared" si="7"/>
        <v>344932</v>
      </c>
      <c r="J18" s="406">
        <f t="shared" si="7"/>
        <v>391939</v>
      </c>
      <c r="K18" s="406">
        <f t="shared" si="7"/>
        <v>0</v>
      </c>
      <c r="L18" s="406">
        <f t="shared" si="7"/>
        <v>0</v>
      </c>
      <c r="M18" s="406">
        <f t="shared" si="7"/>
        <v>0</v>
      </c>
      <c r="N18" s="406">
        <f t="shared" si="7"/>
        <v>663959</v>
      </c>
      <c r="O18" s="414"/>
    </row>
    <row r="19" spans="1:15" ht="21" customHeight="1">
      <c r="A19" s="507" t="s">
        <v>54</v>
      </c>
      <c r="B19" s="429" t="s">
        <v>139</v>
      </c>
      <c r="C19" s="796">
        <f>SUM(C52+C76+C100+C124+C149+C173+C197+C221)</f>
        <v>419793</v>
      </c>
      <c r="D19" s="406">
        <f aca="true" t="shared" si="8" ref="D19:D25">D52+D76+D100+D124+D149+D173+D197+D221</f>
        <v>1809</v>
      </c>
      <c r="E19" s="801">
        <f t="shared" si="6"/>
        <v>415709</v>
      </c>
      <c r="F19" s="406">
        <f aca="true" t="shared" si="9" ref="F19:N25">F52+F76+F100+F124+F149+F173+F197+F221</f>
        <v>11605</v>
      </c>
      <c r="G19" s="406">
        <f t="shared" si="9"/>
        <v>404104</v>
      </c>
      <c r="H19" s="406">
        <f t="shared" si="9"/>
        <v>0</v>
      </c>
      <c r="I19" s="406">
        <f t="shared" si="9"/>
        <v>2275</v>
      </c>
      <c r="J19" s="406">
        <f t="shared" si="9"/>
        <v>0</v>
      </c>
      <c r="K19" s="406">
        <f t="shared" si="9"/>
        <v>0</v>
      </c>
      <c r="L19" s="406">
        <f t="shared" si="9"/>
        <v>0</v>
      </c>
      <c r="M19" s="406">
        <f t="shared" si="9"/>
        <v>0</v>
      </c>
      <c r="N19" s="406">
        <f t="shared" si="9"/>
        <v>0</v>
      </c>
      <c r="O19" s="414"/>
    </row>
    <row r="20" spans="1:15" ht="21" customHeight="1">
      <c r="A20" s="507" t="s">
        <v>140</v>
      </c>
      <c r="B20" s="429" t="s">
        <v>201</v>
      </c>
      <c r="C20" s="796">
        <f>SUM(C53+C77+C101+C125+C150+C174+C198+C222)</f>
        <v>149915</v>
      </c>
      <c r="D20" s="406">
        <f t="shared" si="8"/>
        <v>0</v>
      </c>
      <c r="E20" s="801">
        <f t="shared" si="6"/>
        <v>149915</v>
      </c>
      <c r="F20" s="406">
        <f t="shared" si="9"/>
        <v>64282</v>
      </c>
      <c r="G20" s="406">
        <f t="shared" si="9"/>
        <v>85633</v>
      </c>
      <c r="H20" s="406">
        <f t="shared" si="9"/>
        <v>0</v>
      </c>
      <c r="I20" s="406">
        <f t="shared" si="9"/>
        <v>0</v>
      </c>
      <c r="J20" s="406">
        <f t="shared" si="9"/>
        <v>0</v>
      </c>
      <c r="K20" s="406">
        <f t="shared" si="9"/>
        <v>0</v>
      </c>
      <c r="L20" s="406">
        <f t="shared" si="9"/>
        <v>0</v>
      </c>
      <c r="M20" s="406">
        <f t="shared" si="9"/>
        <v>0</v>
      </c>
      <c r="N20" s="406">
        <f t="shared" si="9"/>
        <v>0</v>
      </c>
      <c r="O20" s="414"/>
    </row>
    <row r="21" spans="1:15" ht="15.75">
      <c r="A21" s="507" t="s">
        <v>142</v>
      </c>
      <c r="B21" s="429" t="s">
        <v>141</v>
      </c>
      <c r="C21" s="796">
        <f>SUM(C54+C78+C102+C126+C151+C175+C199+C223)</f>
        <v>772533</v>
      </c>
      <c r="D21" s="406">
        <f t="shared" si="8"/>
        <v>311282</v>
      </c>
      <c r="E21" s="801">
        <f t="shared" si="6"/>
        <v>310508</v>
      </c>
      <c r="F21" s="406">
        <f t="shared" si="9"/>
        <v>18873</v>
      </c>
      <c r="G21" s="406">
        <f t="shared" si="9"/>
        <v>291635</v>
      </c>
      <c r="H21" s="406">
        <f t="shared" si="9"/>
        <v>350</v>
      </c>
      <c r="I21" s="406">
        <f t="shared" si="9"/>
        <v>56450</v>
      </c>
      <c r="J21" s="406">
        <f t="shared" si="9"/>
        <v>86558</v>
      </c>
      <c r="K21" s="406">
        <f t="shared" si="9"/>
        <v>0</v>
      </c>
      <c r="L21" s="406">
        <f t="shared" si="9"/>
        <v>0</v>
      </c>
      <c r="M21" s="406">
        <f t="shared" si="9"/>
        <v>0</v>
      </c>
      <c r="N21" s="406">
        <f t="shared" si="9"/>
        <v>7385</v>
      </c>
      <c r="O21" s="414"/>
    </row>
    <row r="22" spans="1:15" ht="21" customHeight="1">
      <c r="A22" s="507" t="s">
        <v>144</v>
      </c>
      <c r="B22" s="429" t="s">
        <v>143</v>
      </c>
      <c r="C22" s="796">
        <f>SUM(C55+C79+C103+C127+C152+C176+C200+C224)</f>
        <v>224181</v>
      </c>
      <c r="D22" s="406">
        <f t="shared" si="8"/>
        <v>224181</v>
      </c>
      <c r="E22" s="805">
        <f t="shared" si="6"/>
        <v>0</v>
      </c>
      <c r="F22" s="406">
        <f t="shared" si="9"/>
        <v>0</v>
      </c>
      <c r="G22" s="406">
        <f t="shared" si="9"/>
        <v>0</v>
      </c>
      <c r="H22" s="406">
        <f t="shared" si="9"/>
        <v>0</v>
      </c>
      <c r="I22" s="406">
        <f t="shared" si="9"/>
        <v>0</v>
      </c>
      <c r="J22" s="406">
        <f t="shared" si="9"/>
        <v>0</v>
      </c>
      <c r="K22" s="406">
        <f t="shared" si="9"/>
        <v>0</v>
      </c>
      <c r="L22" s="406">
        <f t="shared" si="9"/>
        <v>0</v>
      </c>
      <c r="M22" s="406">
        <f t="shared" si="9"/>
        <v>0</v>
      </c>
      <c r="N22" s="406">
        <f t="shared" si="9"/>
        <v>0</v>
      </c>
      <c r="O22" s="414"/>
    </row>
    <row r="23" spans="1:15" ht="21" customHeight="1">
      <c r="A23" s="507" t="s">
        <v>146</v>
      </c>
      <c r="B23" s="429" t="s">
        <v>145</v>
      </c>
      <c r="C23" s="796">
        <f>SUM(D23,E23,H23:N23)</f>
        <v>0</v>
      </c>
      <c r="D23" s="406">
        <f t="shared" si="8"/>
        <v>0</v>
      </c>
      <c r="E23" s="801">
        <f t="shared" si="6"/>
        <v>0</v>
      </c>
      <c r="F23" s="406">
        <f t="shared" si="9"/>
        <v>0</v>
      </c>
      <c r="G23" s="406">
        <f t="shared" si="9"/>
        <v>0</v>
      </c>
      <c r="H23" s="406">
        <f t="shared" si="9"/>
        <v>0</v>
      </c>
      <c r="I23" s="406">
        <f t="shared" si="9"/>
        <v>0</v>
      </c>
      <c r="J23" s="406">
        <f t="shared" si="9"/>
        <v>0</v>
      </c>
      <c r="K23" s="406">
        <f t="shared" si="9"/>
        <v>0</v>
      </c>
      <c r="L23" s="406">
        <f t="shared" si="9"/>
        <v>0</v>
      </c>
      <c r="M23" s="406">
        <f t="shared" si="9"/>
        <v>0</v>
      </c>
      <c r="N23" s="406">
        <f t="shared" si="9"/>
        <v>0</v>
      </c>
      <c r="O23" s="414"/>
    </row>
    <row r="24" spans="1:15" ht="25.5">
      <c r="A24" s="507" t="s">
        <v>148</v>
      </c>
      <c r="B24" s="431" t="s">
        <v>147</v>
      </c>
      <c r="C24" s="796">
        <f>SUM(D24,E24,H24:N24)</f>
        <v>0</v>
      </c>
      <c r="D24" s="406">
        <f t="shared" si="8"/>
        <v>0</v>
      </c>
      <c r="E24" s="793">
        <f>SUM(F24:G24)</f>
        <v>0</v>
      </c>
      <c r="F24" s="406">
        <f t="shared" si="9"/>
        <v>0</v>
      </c>
      <c r="G24" s="406">
        <f t="shared" si="9"/>
        <v>0</v>
      </c>
      <c r="H24" s="406">
        <f t="shared" si="9"/>
        <v>0</v>
      </c>
      <c r="I24" s="406">
        <f t="shared" si="9"/>
        <v>0</v>
      </c>
      <c r="J24" s="406">
        <f t="shared" si="9"/>
        <v>0</v>
      </c>
      <c r="K24" s="406">
        <f t="shared" si="9"/>
        <v>0</v>
      </c>
      <c r="L24" s="406">
        <f t="shared" si="9"/>
        <v>0</v>
      </c>
      <c r="M24" s="406">
        <f t="shared" si="9"/>
        <v>0</v>
      </c>
      <c r="N24" s="406">
        <f t="shared" si="9"/>
        <v>0</v>
      </c>
      <c r="O24" s="414"/>
    </row>
    <row r="25" spans="1:15" ht="21" customHeight="1">
      <c r="A25" s="507" t="s">
        <v>185</v>
      </c>
      <c r="B25" s="429" t="s">
        <v>149</v>
      </c>
      <c r="C25" s="796">
        <f>SUM(D25,E25,H25:N25)</f>
        <v>6789</v>
      </c>
      <c r="D25" s="406">
        <f t="shared" si="8"/>
        <v>3249</v>
      </c>
      <c r="E25" s="803">
        <f>E58+E82+E106+E130+E155+E179+E203+E227</f>
        <v>2540</v>
      </c>
      <c r="F25" s="406">
        <f t="shared" si="9"/>
        <v>0</v>
      </c>
      <c r="G25" s="406">
        <f t="shared" si="9"/>
        <v>2540</v>
      </c>
      <c r="H25" s="406">
        <f t="shared" si="9"/>
        <v>0</v>
      </c>
      <c r="I25" s="406">
        <f t="shared" si="9"/>
        <v>0</v>
      </c>
      <c r="J25" s="406">
        <f t="shared" si="9"/>
        <v>0</v>
      </c>
      <c r="K25" s="406">
        <f t="shared" si="9"/>
        <v>0</v>
      </c>
      <c r="L25" s="406">
        <f t="shared" si="9"/>
        <v>0</v>
      </c>
      <c r="M25" s="406">
        <f t="shared" si="9"/>
        <v>0</v>
      </c>
      <c r="N25" s="406">
        <f t="shared" si="9"/>
        <v>1000</v>
      </c>
      <c r="O25" s="414"/>
    </row>
    <row r="26" spans="1:15" ht="24.75" customHeight="1">
      <c r="A26" s="508" t="s">
        <v>52</v>
      </c>
      <c r="B26" s="394" t="s">
        <v>150</v>
      </c>
      <c r="C26" s="791">
        <f>C16-C17</f>
        <v>9427514</v>
      </c>
      <c r="D26" s="791">
        <f>D16-D17</f>
        <v>893204</v>
      </c>
      <c r="E26" s="791">
        <f>E16-E17</f>
        <v>8381368</v>
      </c>
      <c r="F26" s="791">
        <f>F16-F17</f>
        <v>1132951</v>
      </c>
      <c r="G26" s="791">
        <f>G16-G17</f>
        <v>7248417</v>
      </c>
      <c r="H26" s="791">
        <f aca="true" t="shared" si="10" ref="H26:N26">H16-H17</f>
        <v>0</v>
      </c>
      <c r="I26" s="791">
        <f t="shared" si="10"/>
        <v>101360</v>
      </c>
      <c r="J26" s="791">
        <f t="shared" si="10"/>
        <v>49658</v>
      </c>
      <c r="K26" s="791">
        <f t="shared" si="10"/>
        <v>1724</v>
      </c>
      <c r="L26" s="791">
        <f t="shared" si="10"/>
        <v>0</v>
      </c>
      <c r="M26" s="791">
        <f t="shared" si="10"/>
        <v>0</v>
      </c>
      <c r="N26" s="791">
        <f t="shared" si="10"/>
        <v>200</v>
      </c>
      <c r="O26" s="453"/>
    </row>
    <row r="27" spans="1:15" ht="30.75" customHeight="1">
      <c r="A27" s="534" t="s">
        <v>538</v>
      </c>
      <c r="B27" s="463" t="s">
        <v>202</v>
      </c>
      <c r="C27" s="532">
        <f>(C18+C19+C20)/C17</f>
        <v>0.7922963387345783</v>
      </c>
      <c r="D27" s="992">
        <f>(D18+D19+D20)/D17</f>
        <v>0.4394104314997076</v>
      </c>
      <c r="E27" s="532">
        <f aca="true" t="shared" si="11" ref="E27:N27">(E18+E19+E20)/E17</f>
        <v>0.8647182747094374</v>
      </c>
      <c r="F27" s="992">
        <f t="shared" si="11"/>
        <v>0.8964393303373006</v>
      </c>
      <c r="G27" s="992">
        <f t="shared" si="11"/>
        <v>0.8620065446917259</v>
      </c>
      <c r="H27" s="992">
        <f t="shared" si="11"/>
        <v>0.8157894736842105</v>
      </c>
      <c r="I27" s="992">
        <f t="shared" si="11"/>
        <v>0.8601535462038314</v>
      </c>
      <c r="J27" s="992">
        <f t="shared" si="11"/>
        <v>0.8191044039983532</v>
      </c>
      <c r="K27" s="992" t="e">
        <f t="shared" si="11"/>
        <v>#DIV/0!</v>
      </c>
      <c r="L27" s="992" t="e">
        <f t="shared" si="11"/>
        <v>#DIV/0!</v>
      </c>
      <c r="M27" s="992" t="e">
        <f t="shared" si="11"/>
        <v>#DIV/0!</v>
      </c>
      <c r="N27" s="992">
        <f t="shared" si="11"/>
        <v>0.9875287055435907</v>
      </c>
      <c r="O27" s="414"/>
    </row>
    <row r="28" spans="1:15" ht="9.75" customHeight="1">
      <c r="A28" s="953"/>
      <c r="B28" s="954"/>
      <c r="C28" s="955"/>
      <c r="D28" s="956"/>
      <c r="E28" s="955"/>
      <c r="F28" s="956"/>
      <c r="G28" s="956"/>
      <c r="H28" s="956"/>
      <c r="I28" s="956"/>
      <c r="J28" s="956"/>
      <c r="K28" s="956"/>
      <c r="L28" s="956"/>
      <c r="M28" s="956"/>
      <c r="N28" s="956"/>
      <c r="O28" s="414"/>
    </row>
    <row r="29" spans="1:15" ht="13.5" customHeight="1">
      <c r="A29" s="953"/>
      <c r="B29" s="954"/>
      <c r="C29" s="955"/>
      <c r="D29" s="956"/>
      <c r="E29" s="955"/>
      <c r="F29" s="956"/>
      <c r="G29" s="956"/>
      <c r="H29" s="956"/>
      <c r="I29" s="956"/>
      <c r="J29" s="956"/>
      <c r="K29" s="956"/>
      <c r="L29" s="956"/>
      <c r="M29" s="956"/>
      <c r="N29" s="956"/>
      <c r="O29" s="414"/>
    </row>
    <row r="30" spans="1:15" ht="11.25" customHeight="1">
      <c r="A30" s="953"/>
      <c r="B30" s="954"/>
      <c r="C30" s="955"/>
      <c r="D30" s="956"/>
      <c r="E30" s="955"/>
      <c r="F30" s="956"/>
      <c r="G30" s="956"/>
      <c r="H30" s="956"/>
      <c r="I30" s="956"/>
      <c r="J30" s="956"/>
      <c r="K30" s="956"/>
      <c r="L30" s="956"/>
      <c r="M30" s="956"/>
      <c r="N30" s="956"/>
      <c r="O30" s="414"/>
    </row>
    <row r="31" spans="1:15" ht="19.5" customHeight="1">
      <c r="A31" s="953"/>
      <c r="B31" s="954"/>
      <c r="C31" s="955"/>
      <c r="D31" s="956"/>
      <c r="E31" s="955"/>
      <c r="F31" s="956"/>
      <c r="G31" s="956"/>
      <c r="H31" s="956"/>
      <c r="I31" s="956"/>
      <c r="J31" s="956"/>
      <c r="K31" s="956"/>
      <c r="L31" s="956"/>
      <c r="M31" s="956"/>
      <c r="N31" s="956"/>
      <c r="O31" s="414"/>
    </row>
    <row r="32" spans="1:15" ht="0.75" customHeight="1" hidden="1">
      <c r="A32" s="953"/>
      <c r="B32" s="954"/>
      <c r="C32" s="955"/>
      <c r="D32" s="956"/>
      <c r="E32" s="955"/>
      <c r="F32" s="956"/>
      <c r="G32" s="956"/>
      <c r="H32" s="956"/>
      <c r="I32" s="956"/>
      <c r="J32" s="956"/>
      <c r="K32" s="956"/>
      <c r="L32" s="956"/>
      <c r="M32" s="956"/>
      <c r="N32" s="956"/>
      <c r="O32" s="414"/>
    </row>
    <row r="33" spans="1:15" ht="18.75" customHeight="1" hidden="1">
      <c r="A33" s="953"/>
      <c r="B33" s="954"/>
      <c r="C33" s="955"/>
      <c r="D33" s="956"/>
      <c r="E33" s="955"/>
      <c r="F33" s="956"/>
      <c r="G33" s="956"/>
      <c r="H33" s="956"/>
      <c r="I33" s="956"/>
      <c r="J33" s="956"/>
      <c r="K33" s="956"/>
      <c r="L33" s="956"/>
      <c r="M33" s="956"/>
      <c r="N33" s="956"/>
      <c r="O33" s="414"/>
    </row>
    <row r="34" spans="1:15" ht="0.75" customHeight="1" hidden="1">
      <c r="A34" s="953"/>
      <c r="B34" s="954"/>
      <c r="C34" s="955"/>
      <c r="D34" s="956"/>
      <c r="E34" s="955"/>
      <c r="F34" s="956"/>
      <c r="G34" s="956"/>
      <c r="H34" s="956"/>
      <c r="I34" s="956"/>
      <c r="J34" s="956"/>
      <c r="K34" s="956"/>
      <c r="L34" s="956"/>
      <c r="M34" s="956"/>
      <c r="N34" s="956"/>
      <c r="O34" s="414"/>
    </row>
    <row r="35" spans="1:15" ht="12.75" customHeight="1" hidden="1">
      <c r="A35" s="953"/>
      <c r="B35" s="954"/>
      <c r="C35" s="955"/>
      <c r="D35" s="956"/>
      <c r="E35" s="955"/>
      <c r="F35" s="956"/>
      <c r="G35" s="956"/>
      <c r="H35" s="956"/>
      <c r="I35" s="956"/>
      <c r="J35" s="956"/>
      <c r="K35" s="956"/>
      <c r="L35" s="956"/>
      <c r="M35" s="956"/>
      <c r="N35" s="956"/>
      <c r="O35" s="414"/>
    </row>
    <row r="36" ht="15" hidden="1"/>
    <row r="37" ht="0.75" customHeight="1" hidden="1">
      <c r="B37" s="861" t="s">
        <v>741</v>
      </c>
    </row>
    <row r="38" ht="15" hidden="1"/>
    <row r="39" spans="1:14" ht="0.75" customHeight="1" hidden="1">
      <c r="A39" s="1573" t="s">
        <v>68</v>
      </c>
      <c r="B39" s="1574"/>
      <c r="C39" s="1596" t="s">
        <v>37</v>
      </c>
      <c r="D39" s="1582" t="s">
        <v>336</v>
      </c>
      <c r="E39" s="1583"/>
      <c r="F39" s="1583"/>
      <c r="G39" s="1583"/>
      <c r="H39" s="1583"/>
      <c r="I39" s="1583"/>
      <c r="J39" s="1583"/>
      <c r="K39" s="1583"/>
      <c r="L39" s="1583"/>
      <c r="M39" s="1583"/>
      <c r="N39" s="1584"/>
    </row>
    <row r="40" spans="1:14" ht="15" hidden="1">
      <c r="A40" s="1575"/>
      <c r="B40" s="1576"/>
      <c r="C40" s="1596"/>
      <c r="D40" s="1569" t="s">
        <v>195</v>
      </c>
      <c r="E40" s="1593" t="s">
        <v>196</v>
      </c>
      <c r="F40" s="1594"/>
      <c r="G40" s="1595"/>
      <c r="H40" s="1569" t="s">
        <v>197</v>
      </c>
      <c r="I40" s="1569" t="s">
        <v>122</v>
      </c>
      <c r="J40" s="1569" t="s">
        <v>198</v>
      </c>
      <c r="K40" s="1569" t="s">
        <v>124</v>
      </c>
      <c r="L40" s="1569" t="s">
        <v>125</v>
      </c>
      <c r="M40" s="1569" t="s">
        <v>126</v>
      </c>
      <c r="N40" s="1611" t="s">
        <v>127</v>
      </c>
    </row>
    <row r="41" spans="1:14" ht="15" hidden="1">
      <c r="A41" s="1575"/>
      <c r="B41" s="1576"/>
      <c r="C41" s="1596"/>
      <c r="D41" s="1569"/>
      <c r="E41" s="1568" t="s">
        <v>36</v>
      </c>
      <c r="F41" s="1571" t="s">
        <v>7</v>
      </c>
      <c r="G41" s="1572"/>
      <c r="H41" s="1569"/>
      <c r="I41" s="1569"/>
      <c r="J41" s="1569"/>
      <c r="K41" s="1569"/>
      <c r="L41" s="1569"/>
      <c r="M41" s="1569"/>
      <c r="N41" s="1611"/>
    </row>
    <row r="42" spans="1:14" ht="0.75" customHeight="1" hidden="1">
      <c r="A42" s="1577"/>
      <c r="B42" s="1578"/>
      <c r="C42" s="1596"/>
      <c r="D42" s="1570"/>
      <c r="E42" s="1570"/>
      <c r="F42" s="559" t="s">
        <v>199</v>
      </c>
      <c r="G42" s="560" t="s">
        <v>200</v>
      </c>
      <c r="H42" s="1570"/>
      <c r="I42" s="1570"/>
      <c r="J42" s="1570"/>
      <c r="K42" s="1570"/>
      <c r="L42" s="1570"/>
      <c r="M42" s="1570"/>
      <c r="N42" s="1611"/>
    </row>
    <row r="43" spans="1:14" ht="14.25" customHeight="1" hidden="1">
      <c r="A43" s="1623" t="s">
        <v>39</v>
      </c>
      <c r="B43" s="1624"/>
      <c r="C43" s="460">
        <v>1</v>
      </c>
      <c r="D43" s="460">
        <v>2</v>
      </c>
      <c r="E43" s="460">
        <v>3</v>
      </c>
      <c r="F43" s="460">
        <v>4</v>
      </c>
      <c r="G43" s="460">
        <v>5</v>
      </c>
      <c r="H43" s="460">
        <v>6</v>
      </c>
      <c r="I43" s="460">
        <v>7</v>
      </c>
      <c r="J43" s="460">
        <v>8</v>
      </c>
      <c r="K43" s="460">
        <v>9</v>
      </c>
      <c r="L43" s="460">
        <v>10</v>
      </c>
      <c r="M43" s="460">
        <v>11</v>
      </c>
      <c r="N43" s="460">
        <v>12</v>
      </c>
    </row>
    <row r="44" spans="1:14" ht="15" hidden="1">
      <c r="A44" s="506" t="s">
        <v>0</v>
      </c>
      <c r="B44" s="427" t="s">
        <v>130</v>
      </c>
      <c r="C44" s="791">
        <f aca="true" t="shared" si="12" ref="C44:C49">SUM(D44,E44,H44:N44)</f>
        <v>5173703</v>
      </c>
      <c r="D44" s="799">
        <f>SUM(D45:D46)</f>
        <v>0</v>
      </c>
      <c r="E44" s="799">
        <f aca="true" t="shared" si="13" ref="E44:J44">SUM(E45:E46)</f>
        <v>4904605</v>
      </c>
      <c r="F44" s="799">
        <f t="shared" si="13"/>
        <v>280369</v>
      </c>
      <c r="G44" s="799">
        <f t="shared" si="13"/>
        <v>4624236</v>
      </c>
      <c r="H44" s="799">
        <f t="shared" si="13"/>
        <v>1600</v>
      </c>
      <c r="I44" s="799">
        <f t="shared" si="13"/>
        <v>300</v>
      </c>
      <c r="J44" s="799">
        <f t="shared" si="13"/>
        <v>230957</v>
      </c>
      <c r="K44" s="799">
        <f>SUM(K45:K46)</f>
        <v>0</v>
      </c>
      <c r="L44" s="799">
        <f>SUM(L45:L46)</f>
        <v>0</v>
      </c>
      <c r="M44" s="799">
        <f>SUM(M45:M46)</f>
        <v>0</v>
      </c>
      <c r="N44" s="799">
        <f>SUM(N45:N46)</f>
        <v>36241</v>
      </c>
    </row>
    <row r="45" spans="1:14" ht="15" hidden="1">
      <c r="A45" s="507">
        <v>1</v>
      </c>
      <c r="B45" s="429" t="s">
        <v>131</v>
      </c>
      <c r="C45" s="796">
        <f t="shared" si="12"/>
        <v>4680777</v>
      </c>
      <c r="D45" s="406"/>
      <c r="E45" s="801">
        <f>SUM(F45:G45)</f>
        <v>4643382</v>
      </c>
      <c r="F45" s="406">
        <v>260906</v>
      </c>
      <c r="G45" s="406">
        <v>4382476</v>
      </c>
      <c r="H45" s="406">
        <v>0</v>
      </c>
      <c r="I45" s="406">
        <v>0</v>
      </c>
      <c r="J45" s="406">
        <v>37395</v>
      </c>
      <c r="K45" s="406">
        <v>0</v>
      </c>
      <c r="L45" s="406">
        <v>0</v>
      </c>
      <c r="M45" s="406">
        <v>0</v>
      </c>
      <c r="N45" s="406">
        <v>0</v>
      </c>
    </row>
    <row r="46" spans="1:14" ht="15" hidden="1">
      <c r="A46" s="507">
        <v>2</v>
      </c>
      <c r="B46" s="429" t="s">
        <v>132</v>
      </c>
      <c r="C46" s="796">
        <f t="shared" si="12"/>
        <v>492926</v>
      </c>
      <c r="D46" s="820"/>
      <c r="E46" s="801">
        <f>SUM(F46:G46)</f>
        <v>261223</v>
      </c>
      <c r="F46" s="406">
        <v>19463</v>
      </c>
      <c r="G46" s="406">
        <v>241760</v>
      </c>
      <c r="H46" s="406">
        <v>1600</v>
      </c>
      <c r="I46" s="406">
        <v>300</v>
      </c>
      <c r="J46" s="406">
        <v>193562</v>
      </c>
      <c r="K46" s="406">
        <v>0</v>
      </c>
      <c r="L46" s="406">
        <v>0</v>
      </c>
      <c r="M46" s="406">
        <v>0</v>
      </c>
      <c r="N46" s="406">
        <v>36241</v>
      </c>
    </row>
    <row r="47" spans="1:14" ht="15" hidden="1">
      <c r="A47" s="508" t="s">
        <v>1</v>
      </c>
      <c r="B47" s="394" t="s">
        <v>133</v>
      </c>
      <c r="C47" s="796">
        <f t="shared" si="12"/>
        <v>13871</v>
      </c>
      <c r="D47" s="820"/>
      <c r="E47" s="801">
        <f>SUM(F47:G47)</f>
        <v>13871</v>
      </c>
      <c r="F47" s="406">
        <v>0</v>
      </c>
      <c r="G47" s="406">
        <v>13871</v>
      </c>
      <c r="H47" s="406">
        <v>0</v>
      </c>
      <c r="I47" s="406">
        <v>0</v>
      </c>
      <c r="J47" s="406">
        <v>0</v>
      </c>
      <c r="K47" s="406">
        <v>0</v>
      </c>
      <c r="L47" s="406">
        <v>0</v>
      </c>
      <c r="M47" s="406">
        <v>0</v>
      </c>
      <c r="N47" s="406">
        <v>0</v>
      </c>
    </row>
    <row r="48" spans="1:14" ht="15" hidden="1">
      <c r="A48" s="508" t="s">
        <v>9</v>
      </c>
      <c r="B48" s="394" t="s">
        <v>134</v>
      </c>
      <c r="C48" s="796">
        <f t="shared" si="12"/>
        <v>0</v>
      </c>
      <c r="D48" s="406"/>
      <c r="E48" s="801">
        <f>SUM(F48:G48)</f>
        <v>0</v>
      </c>
      <c r="F48" s="406"/>
      <c r="G48" s="406"/>
      <c r="H48" s="406"/>
      <c r="I48" s="406"/>
      <c r="J48" s="406"/>
      <c r="K48" s="406"/>
      <c r="L48" s="406"/>
      <c r="M48" s="406"/>
      <c r="N48" s="406"/>
    </row>
    <row r="49" spans="1:14" ht="15" hidden="1">
      <c r="A49" s="508" t="s">
        <v>135</v>
      </c>
      <c r="B49" s="394" t="s">
        <v>136</v>
      </c>
      <c r="C49" s="791">
        <f t="shared" si="12"/>
        <v>5159832</v>
      </c>
      <c r="D49" s="792">
        <f>D44-D47+D48</f>
        <v>0</v>
      </c>
      <c r="E49" s="792">
        <f aca="true" t="shared" si="14" ref="E49:N49">E44-SUM(E47,E48)</f>
        <v>4890734</v>
      </c>
      <c r="F49" s="792">
        <f t="shared" si="14"/>
        <v>280369</v>
      </c>
      <c r="G49" s="792">
        <f t="shared" si="14"/>
        <v>4610365</v>
      </c>
      <c r="H49" s="792">
        <f t="shared" si="14"/>
        <v>1600</v>
      </c>
      <c r="I49" s="792">
        <f t="shared" si="14"/>
        <v>300</v>
      </c>
      <c r="J49" s="792">
        <f t="shared" si="14"/>
        <v>230957</v>
      </c>
      <c r="K49" s="792">
        <f t="shared" si="14"/>
        <v>0</v>
      </c>
      <c r="L49" s="792">
        <f t="shared" si="14"/>
        <v>0</v>
      </c>
      <c r="M49" s="792">
        <f t="shared" si="14"/>
        <v>0</v>
      </c>
      <c r="N49" s="792">
        <f t="shared" si="14"/>
        <v>36241</v>
      </c>
    </row>
    <row r="50" spans="1:14" ht="16.5" customHeight="1" hidden="1">
      <c r="A50" s="508" t="s">
        <v>51</v>
      </c>
      <c r="B50" s="430" t="s">
        <v>137</v>
      </c>
      <c r="C50" s="800">
        <f>SUM(C51:C58)</f>
        <v>642457</v>
      </c>
      <c r="D50" s="800">
        <f>SUM(D51:D58)</f>
        <v>0</v>
      </c>
      <c r="E50" s="800">
        <f>SUM(E51:E58)</f>
        <v>410754</v>
      </c>
      <c r="F50" s="800">
        <f aca="true" t="shared" si="15" ref="F50:N50">SUM(F51:F58)</f>
        <v>35957</v>
      </c>
      <c r="G50" s="800">
        <f t="shared" si="15"/>
        <v>374797</v>
      </c>
      <c r="H50" s="800">
        <f t="shared" si="15"/>
        <v>1600</v>
      </c>
      <c r="I50" s="800">
        <f t="shared" si="15"/>
        <v>300</v>
      </c>
      <c r="J50" s="800">
        <f t="shared" si="15"/>
        <v>193562</v>
      </c>
      <c r="K50" s="800">
        <f t="shared" si="15"/>
        <v>0</v>
      </c>
      <c r="L50" s="800">
        <f t="shared" si="15"/>
        <v>0</v>
      </c>
      <c r="M50" s="800">
        <f t="shared" si="15"/>
        <v>0</v>
      </c>
      <c r="N50" s="800">
        <f t="shared" si="15"/>
        <v>36241</v>
      </c>
    </row>
    <row r="51" spans="1:14" ht="18" customHeight="1" hidden="1">
      <c r="A51" s="507" t="s">
        <v>53</v>
      </c>
      <c r="B51" s="429" t="s">
        <v>138</v>
      </c>
      <c r="C51" s="796">
        <f>SUM(D51+E51+H51+I51+J51+K51+L51+M51+N51)</f>
        <v>401146</v>
      </c>
      <c r="D51" s="406"/>
      <c r="E51" s="801">
        <f aca="true" t="shared" si="16" ref="E51:E56">SUM(F51:G51)</f>
        <v>171993</v>
      </c>
      <c r="F51" s="406">
        <v>7200</v>
      </c>
      <c r="G51" s="406">
        <v>164793</v>
      </c>
      <c r="H51" s="406">
        <v>1250</v>
      </c>
      <c r="I51" s="406">
        <v>300</v>
      </c>
      <c r="J51" s="406">
        <v>193562</v>
      </c>
      <c r="K51" s="406">
        <v>0</v>
      </c>
      <c r="L51" s="406">
        <v>0</v>
      </c>
      <c r="M51" s="406">
        <v>0</v>
      </c>
      <c r="N51" s="406">
        <v>34041</v>
      </c>
    </row>
    <row r="52" spans="1:14" ht="17.25" customHeight="1" hidden="1">
      <c r="A52" s="507" t="s">
        <v>54</v>
      </c>
      <c r="B52" s="429" t="s">
        <v>139</v>
      </c>
      <c r="C52" s="796">
        <f>SUM(D52,E52,H52:N52)</f>
        <v>14614</v>
      </c>
      <c r="D52" s="820"/>
      <c r="E52" s="801">
        <f t="shared" si="16"/>
        <v>14614</v>
      </c>
      <c r="F52" s="406">
        <v>9639</v>
      </c>
      <c r="G52" s="406">
        <v>4975</v>
      </c>
      <c r="H52" s="406">
        <v>0</v>
      </c>
      <c r="I52" s="406">
        <v>0</v>
      </c>
      <c r="J52" s="406">
        <v>0</v>
      </c>
      <c r="K52" s="406">
        <v>0</v>
      </c>
      <c r="L52" s="406">
        <v>0</v>
      </c>
      <c r="M52" s="406">
        <v>0</v>
      </c>
      <c r="N52" s="406">
        <v>0</v>
      </c>
    </row>
    <row r="53" spans="1:14" ht="17.25" customHeight="1" hidden="1">
      <c r="A53" s="507" t="s">
        <v>140</v>
      </c>
      <c r="B53" s="429" t="s">
        <v>201</v>
      </c>
      <c r="C53" s="796">
        <f>SUM(D53,E53,H53:N53)</f>
        <v>81876</v>
      </c>
      <c r="D53" s="820"/>
      <c r="E53" s="801">
        <f t="shared" si="16"/>
        <v>81876</v>
      </c>
      <c r="F53" s="406">
        <v>19118</v>
      </c>
      <c r="G53" s="406">
        <v>62758</v>
      </c>
      <c r="H53" s="406">
        <v>0</v>
      </c>
      <c r="I53" s="406">
        <v>0</v>
      </c>
      <c r="J53" s="406">
        <v>0</v>
      </c>
      <c r="K53" s="406">
        <v>0</v>
      </c>
      <c r="L53" s="406">
        <v>0</v>
      </c>
      <c r="M53" s="406">
        <v>0</v>
      </c>
      <c r="N53" s="406">
        <v>0</v>
      </c>
    </row>
    <row r="54" spans="1:14" ht="15" hidden="1">
      <c r="A54" s="507" t="s">
        <v>142</v>
      </c>
      <c r="B54" s="429" t="s">
        <v>141</v>
      </c>
      <c r="C54" s="796">
        <f>D54+E54+H54+I54+J54+K54+L54+M54+N54</f>
        <v>144821</v>
      </c>
      <c r="D54" s="820"/>
      <c r="E54" s="801">
        <f t="shared" si="16"/>
        <v>142271</v>
      </c>
      <c r="F54" s="406">
        <v>0</v>
      </c>
      <c r="G54" s="406">
        <v>142271</v>
      </c>
      <c r="H54" s="406">
        <v>350</v>
      </c>
      <c r="I54" s="406">
        <v>0</v>
      </c>
      <c r="J54" s="406">
        <v>0</v>
      </c>
      <c r="K54" s="406">
        <v>0</v>
      </c>
      <c r="L54" s="406">
        <v>0</v>
      </c>
      <c r="M54" s="406">
        <v>0</v>
      </c>
      <c r="N54" s="406">
        <v>2200</v>
      </c>
    </row>
    <row r="55" spans="1:14" ht="15" customHeight="1" hidden="1">
      <c r="A55" s="507" t="s">
        <v>144</v>
      </c>
      <c r="B55" s="429" t="s">
        <v>143</v>
      </c>
      <c r="C55" s="797">
        <f>SUM(D55,E55,H55:N55)</f>
        <v>0</v>
      </c>
      <c r="D55" s="820"/>
      <c r="E55" s="805">
        <f t="shared" si="16"/>
        <v>0</v>
      </c>
      <c r="F55" s="406"/>
      <c r="G55" s="406"/>
      <c r="H55" s="406"/>
      <c r="I55" s="406"/>
      <c r="J55" s="406"/>
      <c r="K55" s="406"/>
      <c r="L55" s="406"/>
      <c r="M55" s="406"/>
      <c r="N55" s="406"/>
    </row>
    <row r="56" spans="1:14" ht="12.75" customHeight="1" hidden="1">
      <c r="A56" s="507" t="s">
        <v>146</v>
      </c>
      <c r="B56" s="429" t="s">
        <v>145</v>
      </c>
      <c r="C56" s="796">
        <f>SUM(D56,E56,H56:N56)</f>
        <v>0</v>
      </c>
      <c r="D56" s="820"/>
      <c r="E56" s="801">
        <f t="shared" si="16"/>
        <v>0</v>
      </c>
      <c r="F56" s="820">
        <v>0</v>
      </c>
      <c r="G56" s="820">
        <v>0</v>
      </c>
      <c r="H56" s="820">
        <v>0</v>
      </c>
      <c r="I56" s="820">
        <v>0</v>
      </c>
      <c r="J56" s="820">
        <v>0</v>
      </c>
      <c r="K56" s="820">
        <v>0</v>
      </c>
      <c r="L56" s="820">
        <v>0</v>
      </c>
      <c r="M56" s="820">
        <v>0</v>
      </c>
      <c r="N56" s="820">
        <v>0</v>
      </c>
    </row>
    <row r="57" spans="1:14" ht="25.5" hidden="1">
      <c r="A57" s="507" t="s">
        <v>148</v>
      </c>
      <c r="B57" s="431" t="s">
        <v>147</v>
      </c>
      <c r="C57" s="796">
        <f>SUM(D57,E57,H57:N57)</f>
        <v>0</v>
      </c>
      <c r="D57" s="820">
        <v>0</v>
      </c>
      <c r="E57" s="801">
        <f>SUM(F57:G57)</f>
        <v>0</v>
      </c>
      <c r="F57" s="820">
        <v>0</v>
      </c>
      <c r="G57" s="820">
        <v>0</v>
      </c>
      <c r="H57" s="820">
        <v>0</v>
      </c>
      <c r="I57" s="820">
        <v>0</v>
      </c>
      <c r="J57" s="820">
        <v>0</v>
      </c>
      <c r="K57" s="820">
        <v>0</v>
      </c>
      <c r="L57" s="820">
        <v>0</v>
      </c>
      <c r="M57" s="820">
        <v>0</v>
      </c>
      <c r="N57" s="820">
        <v>0</v>
      </c>
    </row>
    <row r="58" spans="1:14" ht="15" hidden="1">
      <c r="A58" s="507" t="s">
        <v>185</v>
      </c>
      <c r="B58" s="429" t="s">
        <v>149</v>
      </c>
      <c r="C58" s="796">
        <f>SUM(D58,E58,H58:N58)</f>
        <v>0</v>
      </c>
      <c r="D58" s="820">
        <v>0</v>
      </c>
      <c r="E58" s="801">
        <f>SUM(F58:G58)</f>
        <v>0</v>
      </c>
      <c r="F58" s="820"/>
      <c r="G58" s="820">
        <v>0</v>
      </c>
      <c r="H58" s="820">
        <v>0</v>
      </c>
      <c r="I58" s="820">
        <v>0</v>
      </c>
      <c r="J58" s="820">
        <v>0</v>
      </c>
      <c r="K58" s="820">
        <v>0</v>
      </c>
      <c r="L58" s="820">
        <v>0</v>
      </c>
      <c r="M58" s="820">
        <v>0</v>
      </c>
      <c r="N58" s="820">
        <v>0</v>
      </c>
    </row>
    <row r="59" spans="1:14" ht="15" hidden="1">
      <c r="A59" s="508" t="s">
        <v>52</v>
      </c>
      <c r="B59" s="394" t="s">
        <v>150</v>
      </c>
      <c r="C59" s="791">
        <f>C49-C50</f>
        <v>4517375</v>
      </c>
      <c r="D59" s="791">
        <f>D49-D50</f>
        <v>0</v>
      </c>
      <c r="E59" s="791">
        <f>E49-E50</f>
        <v>4479980</v>
      </c>
      <c r="F59" s="791">
        <f>F49-F50</f>
        <v>244412</v>
      </c>
      <c r="G59" s="791">
        <f>G49-G50</f>
        <v>4235568</v>
      </c>
      <c r="H59" s="791">
        <f aca="true" t="shared" si="17" ref="H59:N59">H49-H50</f>
        <v>0</v>
      </c>
      <c r="I59" s="791">
        <f t="shared" si="17"/>
        <v>0</v>
      </c>
      <c r="J59" s="791">
        <f t="shared" si="17"/>
        <v>37395</v>
      </c>
      <c r="K59" s="791">
        <f t="shared" si="17"/>
        <v>0</v>
      </c>
      <c r="L59" s="791">
        <f t="shared" si="17"/>
        <v>0</v>
      </c>
      <c r="M59" s="791">
        <f t="shared" si="17"/>
        <v>0</v>
      </c>
      <c r="N59" s="791">
        <f t="shared" si="17"/>
        <v>0</v>
      </c>
    </row>
    <row r="60" spans="1:14" ht="24" hidden="1">
      <c r="A60" s="534" t="s">
        <v>538</v>
      </c>
      <c r="B60" s="463" t="s">
        <v>202</v>
      </c>
      <c r="C60" s="532">
        <f>(C51+C52+C53)/C50</f>
        <v>0.7745825790675485</v>
      </c>
      <c r="D60" s="533" t="e">
        <f aca="true" t="shared" si="18" ref="D60:N60">(D51+D52+D53)/D50</f>
        <v>#DIV/0!</v>
      </c>
      <c r="E60" s="532">
        <f t="shared" si="18"/>
        <v>0.65363453551274</v>
      </c>
      <c r="F60" s="533">
        <f t="shared" si="18"/>
        <v>1</v>
      </c>
      <c r="G60" s="533">
        <f t="shared" si="18"/>
        <v>0.6204051793370812</v>
      </c>
      <c r="H60" s="533">
        <f t="shared" si="18"/>
        <v>0.78125</v>
      </c>
      <c r="I60" s="533">
        <f t="shared" si="18"/>
        <v>1</v>
      </c>
      <c r="J60" s="533">
        <f t="shared" si="18"/>
        <v>1</v>
      </c>
      <c r="K60" s="533" t="e">
        <f t="shared" si="18"/>
        <v>#DIV/0!</v>
      </c>
      <c r="L60" s="533" t="e">
        <f t="shared" si="18"/>
        <v>#DIV/0!</v>
      </c>
      <c r="M60" s="533" t="e">
        <f t="shared" si="18"/>
        <v>#DIV/0!</v>
      </c>
      <c r="N60" s="533">
        <f t="shared" si="18"/>
        <v>0.9392952733092353</v>
      </c>
    </row>
    <row r="61" ht="0.75" customHeight="1" hidden="1"/>
    <row r="62" ht="24" customHeight="1" hidden="1">
      <c r="B62" s="920" t="s">
        <v>742</v>
      </c>
    </row>
    <row r="63" spans="1:14" ht="12.75" customHeight="1" hidden="1">
      <c r="A63" s="1573" t="s">
        <v>68</v>
      </c>
      <c r="B63" s="1574"/>
      <c r="C63" s="1596" t="s">
        <v>37</v>
      </c>
      <c r="D63" s="1582" t="s">
        <v>336</v>
      </c>
      <c r="E63" s="1583"/>
      <c r="F63" s="1583"/>
      <c r="G63" s="1583"/>
      <c r="H63" s="1583"/>
      <c r="I63" s="1583"/>
      <c r="J63" s="1583"/>
      <c r="K63" s="1583"/>
      <c r="L63" s="1583"/>
      <c r="M63" s="1583"/>
      <c r="N63" s="1584"/>
    </row>
    <row r="64" spans="1:14" ht="15" hidden="1">
      <c r="A64" s="1575"/>
      <c r="B64" s="1576"/>
      <c r="C64" s="1596"/>
      <c r="D64" s="1569" t="s">
        <v>195</v>
      </c>
      <c r="E64" s="1593" t="s">
        <v>196</v>
      </c>
      <c r="F64" s="1594"/>
      <c r="G64" s="1595"/>
      <c r="H64" s="1569" t="s">
        <v>197</v>
      </c>
      <c r="I64" s="1569" t="s">
        <v>122</v>
      </c>
      <c r="J64" s="1569" t="s">
        <v>198</v>
      </c>
      <c r="K64" s="1569" t="s">
        <v>124</v>
      </c>
      <c r="L64" s="1569" t="s">
        <v>125</v>
      </c>
      <c r="M64" s="1569" t="s">
        <v>126</v>
      </c>
      <c r="N64" s="1611" t="s">
        <v>127</v>
      </c>
    </row>
    <row r="65" spans="1:14" ht="15" hidden="1">
      <c r="A65" s="1575"/>
      <c r="B65" s="1576"/>
      <c r="C65" s="1596"/>
      <c r="D65" s="1569"/>
      <c r="E65" s="1568" t="s">
        <v>36</v>
      </c>
      <c r="F65" s="1571" t="s">
        <v>7</v>
      </c>
      <c r="G65" s="1572"/>
      <c r="H65" s="1569"/>
      <c r="I65" s="1569"/>
      <c r="J65" s="1569"/>
      <c r="K65" s="1569"/>
      <c r="L65" s="1569"/>
      <c r="M65" s="1569"/>
      <c r="N65" s="1611"/>
    </row>
    <row r="66" spans="1:14" ht="15" hidden="1">
      <c r="A66" s="1577"/>
      <c r="B66" s="1578"/>
      <c r="C66" s="1596"/>
      <c r="D66" s="1570"/>
      <c r="E66" s="1570"/>
      <c r="F66" s="559" t="s">
        <v>199</v>
      </c>
      <c r="G66" s="560" t="s">
        <v>200</v>
      </c>
      <c r="H66" s="1570"/>
      <c r="I66" s="1570"/>
      <c r="J66" s="1570"/>
      <c r="K66" s="1570"/>
      <c r="L66" s="1570"/>
      <c r="M66" s="1570"/>
      <c r="N66" s="1611"/>
    </row>
    <row r="67" spans="1:14" ht="15.75" hidden="1">
      <c r="A67" s="1623" t="s">
        <v>39</v>
      </c>
      <c r="B67" s="1624"/>
      <c r="C67" s="460">
        <v>1</v>
      </c>
      <c r="D67" s="460">
        <v>2</v>
      </c>
      <c r="E67" s="460">
        <v>3</v>
      </c>
      <c r="F67" s="460">
        <v>4</v>
      </c>
      <c r="G67" s="460">
        <v>5</v>
      </c>
      <c r="H67" s="460">
        <v>6</v>
      </c>
      <c r="I67" s="460">
        <v>7</v>
      </c>
      <c r="J67" s="460">
        <v>8</v>
      </c>
      <c r="K67" s="460">
        <v>9</v>
      </c>
      <c r="L67" s="460">
        <v>10</v>
      </c>
      <c r="M67" s="460">
        <v>11</v>
      </c>
      <c r="N67" s="460">
        <v>12</v>
      </c>
    </row>
    <row r="68" spans="1:14" ht="15" hidden="1">
      <c r="A68" s="506" t="s">
        <v>0</v>
      </c>
      <c r="B68" s="427" t="s">
        <v>130</v>
      </c>
      <c r="C68" s="791">
        <f aca="true" t="shared" si="19" ref="C68:C73">SUM(D68,E68,H68:N68)</f>
        <v>2665242</v>
      </c>
      <c r="D68" s="799">
        <f>SUM(D69:D70)</f>
        <v>1153058</v>
      </c>
      <c r="E68" s="799">
        <f aca="true" t="shared" si="20" ref="E68:J68">SUM(E69:E70)</f>
        <v>743696</v>
      </c>
      <c r="F68" s="799">
        <f t="shared" si="20"/>
        <v>331970</v>
      </c>
      <c r="G68" s="799">
        <f t="shared" si="20"/>
        <v>411726</v>
      </c>
      <c r="H68" s="799">
        <f t="shared" si="20"/>
        <v>0</v>
      </c>
      <c r="I68" s="799">
        <f t="shared" si="20"/>
        <v>203616</v>
      </c>
      <c r="J68" s="799">
        <f t="shared" si="20"/>
        <v>286804</v>
      </c>
      <c r="K68" s="799">
        <f>SUM(K69:K70)</f>
        <v>1724</v>
      </c>
      <c r="L68" s="799">
        <f>SUM(L69:L70)</f>
        <v>0</v>
      </c>
      <c r="M68" s="799">
        <f>SUM(M69:M70)</f>
        <v>0</v>
      </c>
      <c r="N68" s="799">
        <f>SUM(N69:N70)</f>
        <v>276344</v>
      </c>
    </row>
    <row r="69" spans="1:14" ht="15" hidden="1">
      <c r="A69" s="507">
        <v>1</v>
      </c>
      <c r="B69" s="429" t="s">
        <v>131</v>
      </c>
      <c r="C69" s="796">
        <f t="shared" si="19"/>
        <v>1541921</v>
      </c>
      <c r="D69" s="406">
        <v>866285</v>
      </c>
      <c r="E69" s="801">
        <f>SUM(F69:G69)</f>
        <v>562380</v>
      </c>
      <c r="F69" s="406">
        <v>310216</v>
      </c>
      <c r="G69" s="406">
        <v>252164</v>
      </c>
      <c r="H69" s="406">
        <v>0</v>
      </c>
      <c r="I69" s="406">
        <v>109663</v>
      </c>
      <c r="J69" s="406">
        <v>1869</v>
      </c>
      <c r="K69" s="406">
        <v>1724</v>
      </c>
      <c r="L69" s="406">
        <v>0</v>
      </c>
      <c r="M69" s="406">
        <v>0</v>
      </c>
      <c r="N69" s="406">
        <v>0</v>
      </c>
    </row>
    <row r="70" spans="1:14" ht="13.5" customHeight="1" hidden="1">
      <c r="A70" s="507">
        <v>2</v>
      </c>
      <c r="B70" s="429" t="s">
        <v>132</v>
      </c>
      <c r="C70" s="796">
        <f t="shared" si="19"/>
        <v>1123321</v>
      </c>
      <c r="D70" s="406">
        <v>286773</v>
      </c>
      <c r="E70" s="801">
        <f>SUM(F70:G70)</f>
        <v>181316</v>
      </c>
      <c r="F70" s="406">
        <v>21754</v>
      </c>
      <c r="G70" s="406">
        <v>159562</v>
      </c>
      <c r="H70" s="406">
        <v>0</v>
      </c>
      <c r="I70" s="406">
        <v>93953</v>
      </c>
      <c r="J70" s="406">
        <v>284935</v>
      </c>
      <c r="K70" s="406">
        <v>0</v>
      </c>
      <c r="L70" s="406">
        <v>0</v>
      </c>
      <c r="M70" s="406">
        <v>0</v>
      </c>
      <c r="N70" s="406">
        <v>276344</v>
      </c>
    </row>
    <row r="71" spans="1:14" ht="15" hidden="1">
      <c r="A71" s="508" t="s">
        <v>1</v>
      </c>
      <c r="B71" s="394" t="s">
        <v>133</v>
      </c>
      <c r="C71" s="796">
        <f t="shared" si="19"/>
        <v>106757</v>
      </c>
      <c r="D71" s="406">
        <v>104282</v>
      </c>
      <c r="E71" s="801">
        <f>SUM(F71:G71)</f>
        <v>2475</v>
      </c>
      <c r="F71" s="406">
        <v>600</v>
      </c>
      <c r="G71" s="406">
        <v>1875</v>
      </c>
      <c r="H71" s="406">
        <v>0</v>
      </c>
      <c r="I71" s="406">
        <v>0</v>
      </c>
      <c r="J71" s="406">
        <v>0</v>
      </c>
      <c r="K71" s="406">
        <v>0</v>
      </c>
      <c r="L71" s="406">
        <v>0</v>
      </c>
      <c r="M71" s="406">
        <v>0</v>
      </c>
      <c r="N71" s="406">
        <v>0</v>
      </c>
    </row>
    <row r="72" spans="1:14" ht="14.25" customHeight="1" hidden="1">
      <c r="A72" s="508" t="s">
        <v>9</v>
      </c>
      <c r="B72" s="394" t="s">
        <v>134</v>
      </c>
      <c r="C72" s="796">
        <f t="shared" si="19"/>
        <v>0</v>
      </c>
      <c r="D72" s="406"/>
      <c r="E72" s="801">
        <f>SUM(F72:G72)</f>
        <v>0</v>
      </c>
      <c r="F72" s="406"/>
      <c r="G72" s="406"/>
      <c r="H72" s="406"/>
      <c r="I72" s="406"/>
      <c r="J72" s="406"/>
      <c r="K72" s="406"/>
      <c r="L72" s="406"/>
      <c r="M72" s="406"/>
      <c r="N72" s="406"/>
    </row>
    <row r="73" spans="1:14" ht="15" hidden="1">
      <c r="A73" s="508" t="s">
        <v>135</v>
      </c>
      <c r="B73" s="394" t="s">
        <v>136</v>
      </c>
      <c r="C73" s="791">
        <f t="shared" si="19"/>
        <v>2558485</v>
      </c>
      <c r="D73" s="792">
        <f>D68-D71+D72</f>
        <v>1048776</v>
      </c>
      <c r="E73" s="792">
        <f aca="true" t="shared" si="21" ref="E73:N73">E68-SUM(E71,E72)</f>
        <v>741221</v>
      </c>
      <c r="F73" s="792">
        <f t="shared" si="21"/>
        <v>331370</v>
      </c>
      <c r="G73" s="792">
        <f t="shared" si="21"/>
        <v>409851</v>
      </c>
      <c r="H73" s="792">
        <f t="shared" si="21"/>
        <v>0</v>
      </c>
      <c r="I73" s="792">
        <f t="shared" si="21"/>
        <v>203616</v>
      </c>
      <c r="J73" s="792">
        <f t="shared" si="21"/>
        <v>286804</v>
      </c>
      <c r="K73" s="792">
        <f t="shared" si="21"/>
        <v>1724</v>
      </c>
      <c r="L73" s="792">
        <f t="shared" si="21"/>
        <v>0</v>
      </c>
      <c r="M73" s="792">
        <f t="shared" si="21"/>
        <v>0</v>
      </c>
      <c r="N73" s="792">
        <f t="shared" si="21"/>
        <v>276344</v>
      </c>
    </row>
    <row r="74" spans="1:14" ht="15" hidden="1">
      <c r="A74" s="508" t="s">
        <v>51</v>
      </c>
      <c r="B74" s="430" t="s">
        <v>137</v>
      </c>
      <c r="C74" s="800">
        <f>SUM(C75:C82)</f>
        <v>1406775</v>
      </c>
      <c r="D74" s="800">
        <f>SUM(D75:D82)</f>
        <v>474346</v>
      </c>
      <c r="E74" s="800">
        <f>SUM(E75:E82)</f>
        <v>220534</v>
      </c>
      <c r="F74" s="800">
        <f aca="true" t="shared" si="22" ref="F74:N74">SUM(F75:F82)</f>
        <v>39340</v>
      </c>
      <c r="G74" s="800">
        <f t="shared" si="22"/>
        <v>181194</v>
      </c>
      <c r="H74" s="800">
        <f t="shared" si="22"/>
        <v>0</v>
      </c>
      <c r="I74" s="800">
        <f t="shared" si="22"/>
        <v>150616</v>
      </c>
      <c r="J74" s="800">
        <f t="shared" si="22"/>
        <v>284935</v>
      </c>
      <c r="K74" s="800">
        <f t="shared" si="22"/>
        <v>0</v>
      </c>
      <c r="L74" s="800">
        <f t="shared" si="22"/>
        <v>0</v>
      </c>
      <c r="M74" s="800">
        <f t="shared" si="22"/>
        <v>0</v>
      </c>
      <c r="N74" s="800">
        <f t="shared" si="22"/>
        <v>276344</v>
      </c>
    </row>
    <row r="75" spans="1:14" ht="15" hidden="1">
      <c r="A75" s="507" t="s">
        <v>53</v>
      </c>
      <c r="B75" s="429" t="s">
        <v>138</v>
      </c>
      <c r="C75" s="796">
        <f>SUM(D75+E75+H75+I75+J75+K75+L75+M75+N75)</f>
        <v>855461</v>
      </c>
      <c r="D75" s="406">
        <v>135278</v>
      </c>
      <c r="E75" s="801">
        <f aca="true" t="shared" si="23" ref="E75:E80">SUM(F75:G75)</f>
        <v>132534</v>
      </c>
      <c r="F75" s="406">
        <v>8804</v>
      </c>
      <c r="G75" s="406">
        <v>123730</v>
      </c>
      <c r="H75" s="406">
        <v>0</v>
      </c>
      <c r="I75" s="406">
        <v>114144</v>
      </c>
      <c r="J75" s="406">
        <v>198377</v>
      </c>
      <c r="K75" s="406">
        <v>0</v>
      </c>
      <c r="L75" s="406">
        <v>0</v>
      </c>
      <c r="M75" s="406">
        <v>0</v>
      </c>
      <c r="N75" s="406">
        <v>275128</v>
      </c>
    </row>
    <row r="76" spans="1:14" ht="15" hidden="1">
      <c r="A76" s="507" t="s">
        <v>54</v>
      </c>
      <c r="B76" s="429" t="s">
        <v>139</v>
      </c>
      <c r="C76" s="796">
        <f>SUM(D76+E76+H76+I76+J76+K76+L76+M76+N76)</f>
        <v>3298</v>
      </c>
      <c r="D76" s="406">
        <v>1398</v>
      </c>
      <c r="E76" s="801">
        <f t="shared" si="23"/>
        <v>1500</v>
      </c>
      <c r="F76" s="406">
        <v>0</v>
      </c>
      <c r="G76" s="406">
        <v>1500</v>
      </c>
      <c r="H76" s="406">
        <v>0</v>
      </c>
      <c r="I76" s="406">
        <v>400</v>
      </c>
      <c r="J76" s="406">
        <v>0</v>
      </c>
      <c r="K76" s="406">
        <v>0</v>
      </c>
      <c r="L76" s="406">
        <v>0</v>
      </c>
      <c r="M76" s="406">
        <v>0</v>
      </c>
      <c r="N76" s="406">
        <v>0</v>
      </c>
    </row>
    <row r="77" spans="1:14" ht="15" hidden="1">
      <c r="A77" s="507" t="s">
        <v>140</v>
      </c>
      <c r="B77" s="429" t="s">
        <v>201</v>
      </c>
      <c r="C77" s="796">
        <f>SUM(D77,E77,H77:N77)</f>
        <v>32404</v>
      </c>
      <c r="D77" s="406">
        <v>0</v>
      </c>
      <c r="E77" s="801">
        <f t="shared" si="23"/>
        <v>32404</v>
      </c>
      <c r="F77" s="406">
        <v>23453</v>
      </c>
      <c r="G77" s="406">
        <v>8951</v>
      </c>
      <c r="H77" s="406">
        <v>0</v>
      </c>
      <c r="I77" s="406">
        <v>0</v>
      </c>
      <c r="J77" s="406">
        <v>0</v>
      </c>
      <c r="K77" s="406">
        <v>0</v>
      </c>
      <c r="L77" s="406">
        <v>0</v>
      </c>
      <c r="M77" s="406">
        <v>0</v>
      </c>
      <c r="N77" s="406">
        <v>0</v>
      </c>
    </row>
    <row r="78" spans="1:14" ht="15" hidden="1">
      <c r="A78" s="507" t="s">
        <v>142</v>
      </c>
      <c r="B78" s="429" t="s">
        <v>141</v>
      </c>
      <c r="C78" s="796">
        <f>D78+E78+H78+I78+J78+K78+L78+M78+N78</f>
        <v>310524</v>
      </c>
      <c r="D78" s="406">
        <v>132782</v>
      </c>
      <c r="E78" s="801">
        <f t="shared" si="23"/>
        <v>53896</v>
      </c>
      <c r="F78" s="406">
        <v>7083</v>
      </c>
      <c r="G78" s="406">
        <v>46813</v>
      </c>
      <c r="H78" s="406">
        <v>0</v>
      </c>
      <c r="I78" s="406">
        <v>36072</v>
      </c>
      <c r="J78" s="406">
        <v>86558</v>
      </c>
      <c r="K78" s="406">
        <v>0</v>
      </c>
      <c r="L78" s="406">
        <v>0</v>
      </c>
      <c r="M78" s="406">
        <v>0</v>
      </c>
      <c r="N78" s="406">
        <v>1216</v>
      </c>
    </row>
    <row r="79" spans="1:14" ht="15" hidden="1">
      <c r="A79" s="507" t="s">
        <v>144</v>
      </c>
      <c r="B79" s="429" t="s">
        <v>143</v>
      </c>
      <c r="C79" s="797">
        <f>SUM(D79,E79,H79:N79)</f>
        <v>201975</v>
      </c>
      <c r="D79" s="406">
        <v>201975</v>
      </c>
      <c r="E79" s="805">
        <f t="shared" si="23"/>
        <v>0</v>
      </c>
      <c r="F79" s="406">
        <v>0</v>
      </c>
      <c r="G79" s="406">
        <v>0</v>
      </c>
      <c r="H79" s="406">
        <v>0</v>
      </c>
      <c r="I79" s="406">
        <v>0</v>
      </c>
      <c r="J79" s="406">
        <v>0</v>
      </c>
      <c r="K79" s="406">
        <v>0</v>
      </c>
      <c r="L79" s="406">
        <v>0</v>
      </c>
      <c r="M79" s="406">
        <v>0</v>
      </c>
      <c r="N79" s="406">
        <v>0</v>
      </c>
    </row>
    <row r="80" spans="1:14" ht="15" hidden="1">
      <c r="A80" s="507" t="s">
        <v>146</v>
      </c>
      <c r="B80" s="429" t="s">
        <v>145</v>
      </c>
      <c r="C80" s="796">
        <f>SUM(D80,E80,H80:N80)</f>
        <v>0</v>
      </c>
      <c r="D80" s="406">
        <v>0</v>
      </c>
      <c r="E80" s="801">
        <f t="shared" si="23"/>
        <v>0</v>
      </c>
      <c r="F80" s="406">
        <v>0</v>
      </c>
      <c r="G80" s="406">
        <v>0</v>
      </c>
      <c r="H80" s="406">
        <v>0</v>
      </c>
      <c r="I80" s="406">
        <v>0</v>
      </c>
      <c r="J80" s="406">
        <v>0</v>
      </c>
      <c r="K80" s="406">
        <v>0</v>
      </c>
      <c r="L80" s="406">
        <v>0</v>
      </c>
      <c r="M80" s="406">
        <v>0</v>
      </c>
      <c r="N80" s="406">
        <v>0</v>
      </c>
    </row>
    <row r="81" spans="1:14" ht="25.5" hidden="1">
      <c r="A81" s="507" t="s">
        <v>148</v>
      </c>
      <c r="B81" s="431" t="s">
        <v>147</v>
      </c>
      <c r="C81" s="796">
        <f>SUM(D81,E81,H81:N81)</f>
        <v>0</v>
      </c>
      <c r="D81" s="406">
        <v>0</v>
      </c>
      <c r="E81" s="801">
        <f>SUM(F81:G81)</f>
        <v>0</v>
      </c>
      <c r="F81" s="406">
        <v>0</v>
      </c>
      <c r="G81" s="406">
        <v>0</v>
      </c>
      <c r="H81" s="406">
        <v>0</v>
      </c>
      <c r="I81" s="406">
        <v>0</v>
      </c>
      <c r="J81" s="406">
        <v>0</v>
      </c>
      <c r="K81" s="406">
        <v>0</v>
      </c>
      <c r="L81" s="406">
        <v>0</v>
      </c>
      <c r="M81" s="406">
        <v>0</v>
      </c>
      <c r="N81" s="406">
        <v>0</v>
      </c>
    </row>
    <row r="82" spans="1:14" ht="15.75" customHeight="1" hidden="1">
      <c r="A82" s="507" t="s">
        <v>185</v>
      </c>
      <c r="B82" s="429" t="s">
        <v>149</v>
      </c>
      <c r="C82" s="796">
        <f>SUM(D82,E82,H82:N82)</f>
        <v>3113</v>
      </c>
      <c r="D82" s="406">
        <v>2913</v>
      </c>
      <c r="E82" s="801">
        <f>SUM(F82:G82)</f>
        <v>200</v>
      </c>
      <c r="F82" s="406">
        <v>0</v>
      </c>
      <c r="G82" s="406">
        <v>200</v>
      </c>
      <c r="H82" s="406">
        <v>0</v>
      </c>
      <c r="I82" s="406">
        <v>0</v>
      </c>
      <c r="J82" s="406">
        <v>0</v>
      </c>
      <c r="K82" s="406">
        <v>0</v>
      </c>
      <c r="L82" s="406">
        <v>0</v>
      </c>
      <c r="M82" s="406">
        <v>0</v>
      </c>
      <c r="N82" s="406">
        <v>0</v>
      </c>
    </row>
    <row r="83" spans="1:14" ht="21" customHeight="1" hidden="1">
      <c r="A83" s="508" t="s">
        <v>52</v>
      </c>
      <c r="B83" s="394" t="s">
        <v>150</v>
      </c>
      <c r="C83" s="791">
        <f>C73-C74</f>
        <v>1151710</v>
      </c>
      <c r="D83" s="791">
        <f>D73-D74</f>
        <v>574430</v>
      </c>
      <c r="E83" s="791">
        <f>E73-E74</f>
        <v>520687</v>
      </c>
      <c r="F83" s="791">
        <f>F73-F74</f>
        <v>292030</v>
      </c>
      <c r="G83" s="791">
        <f>G73-G74</f>
        <v>228657</v>
      </c>
      <c r="H83" s="791">
        <f aca="true" t="shared" si="24" ref="H83:N83">H73-H74</f>
        <v>0</v>
      </c>
      <c r="I83" s="791">
        <f t="shared" si="24"/>
        <v>53000</v>
      </c>
      <c r="J83" s="791">
        <f t="shared" si="24"/>
        <v>1869</v>
      </c>
      <c r="K83" s="791">
        <f t="shared" si="24"/>
        <v>1724</v>
      </c>
      <c r="L83" s="791">
        <f t="shared" si="24"/>
        <v>0</v>
      </c>
      <c r="M83" s="791">
        <f t="shared" si="24"/>
        <v>0</v>
      </c>
      <c r="N83" s="791">
        <f t="shared" si="24"/>
        <v>0</v>
      </c>
    </row>
    <row r="84" spans="1:14" ht="13.5" customHeight="1" hidden="1">
      <c r="A84" s="534" t="s">
        <v>538</v>
      </c>
      <c r="B84" s="463" t="s">
        <v>202</v>
      </c>
      <c r="C84" s="532">
        <f>(C75+C76+C77)/C74</f>
        <v>0.6334794121305823</v>
      </c>
      <c r="D84" s="533">
        <f aca="true" t="shared" si="25" ref="D84:N84">(D75+D76+D77)/D74</f>
        <v>0.2881356646835854</v>
      </c>
      <c r="E84" s="532">
        <f t="shared" si="25"/>
        <v>0.7547044900106106</v>
      </c>
      <c r="F84" s="533">
        <f t="shared" si="25"/>
        <v>0.819954245043213</v>
      </c>
      <c r="G84" s="533">
        <f t="shared" si="25"/>
        <v>0.740537766151197</v>
      </c>
      <c r="H84" s="533" t="e">
        <f t="shared" si="25"/>
        <v>#DIV/0!</v>
      </c>
      <c r="I84" s="533">
        <f t="shared" si="25"/>
        <v>0.7605035321612578</v>
      </c>
      <c r="J84" s="533">
        <f t="shared" si="25"/>
        <v>0.6962184357835998</v>
      </c>
      <c r="K84" s="533" t="e">
        <f t="shared" si="25"/>
        <v>#DIV/0!</v>
      </c>
      <c r="L84" s="533" t="e">
        <f t="shared" si="25"/>
        <v>#DIV/0!</v>
      </c>
      <c r="M84" s="533" t="e">
        <f t="shared" si="25"/>
        <v>#DIV/0!</v>
      </c>
      <c r="N84" s="533">
        <f t="shared" si="25"/>
        <v>0.9955996873462062</v>
      </c>
    </row>
    <row r="85" ht="15" hidden="1"/>
    <row r="86" ht="15" hidden="1">
      <c r="B86" s="920" t="s">
        <v>743</v>
      </c>
    </row>
    <row r="87" spans="1:14" ht="15" hidden="1">
      <c r="A87" s="1573" t="s">
        <v>68</v>
      </c>
      <c r="B87" s="1574"/>
      <c r="C87" s="1596" t="s">
        <v>37</v>
      </c>
      <c r="D87" s="1582" t="s">
        <v>336</v>
      </c>
      <c r="E87" s="1583"/>
      <c r="F87" s="1583"/>
      <c r="G87" s="1583"/>
      <c r="H87" s="1583"/>
      <c r="I87" s="1583"/>
      <c r="J87" s="1583"/>
      <c r="K87" s="1583"/>
      <c r="L87" s="1583"/>
      <c r="M87" s="1583"/>
      <c r="N87" s="1584"/>
    </row>
    <row r="88" spans="1:14" ht="0.75" customHeight="1" hidden="1">
      <c r="A88" s="1575"/>
      <c r="B88" s="1576"/>
      <c r="C88" s="1596"/>
      <c r="D88" s="1569" t="s">
        <v>195</v>
      </c>
      <c r="E88" s="1593" t="s">
        <v>196</v>
      </c>
      <c r="F88" s="1594"/>
      <c r="G88" s="1595"/>
      <c r="H88" s="1569" t="s">
        <v>197</v>
      </c>
      <c r="I88" s="1569" t="s">
        <v>122</v>
      </c>
      <c r="J88" s="1569" t="s">
        <v>198</v>
      </c>
      <c r="K88" s="1569" t="s">
        <v>124</v>
      </c>
      <c r="L88" s="1569" t="s">
        <v>125</v>
      </c>
      <c r="M88" s="1569" t="s">
        <v>126</v>
      </c>
      <c r="N88" s="1611" t="s">
        <v>127</v>
      </c>
    </row>
    <row r="89" spans="1:14" ht="15" hidden="1">
      <c r="A89" s="1575"/>
      <c r="B89" s="1576"/>
      <c r="C89" s="1596"/>
      <c r="D89" s="1569"/>
      <c r="E89" s="1568" t="s">
        <v>36</v>
      </c>
      <c r="F89" s="1571" t="s">
        <v>7</v>
      </c>
      <c r="G89" s="1572"/>
      <c r="H89" s="1569"/>
      <c r="I89" s="1569"/>
      <c r="J89" s="1569"/>
      <c r="K89" s="1569"/>
      <c r="L89" s="1569"/>
      <c r="M89" s="1569"/>
      <c r="N89" s="1611"/>
    </row>
    <row r="90" spans="1:14" ht="15" hidden="1">
      <c r="A90" s="1577"/>
      <c r="B90" s="1578"/>
      <c r="C90" s="1596"/>
      <c r="D90" s="1570"/>
      <c r="E90" s="1570"/>
      <c r="F90" s="559" t="s">
        <v>199</v>
      </c>
      <c r="G90" s="560" t="s">
        <v>200</v>
      </c>
      <c r="H90" s="1570"/>
      <c r="I90" s="1570"/>
      <c r="J90" s="1570"/>
      <c r="K90" s="1570"/>
      <c r="L90" s="1570"/>
      <c r="M90" s="1570"/>
      <c r="N90" s="1611"/>
    </row>
    <row r="91" spans="1:14" ht="15" customHeight="1" hidden="1">
      <c r="A91" s="1623" t="s">
        <v>39</v>
      </c>
      <c r="B91" s="1624"/>
      <c r="C91" s="460">
        <v>1</v>
      </c>
      <c r="D91" s="460">
        <v>2</v>
      </c>
      <c r="E91" s="460">
        <v>3</v>
      </c>
      <c r="F91" s="460">
        <v>4</v>
      </c>
      <c r="G91" s="460">
        <v>5</v>
      </c>
      <c r="H91" s="460">
        <v>6</v>
      </c>
      <c r="I91" s="460">
        <v>7</v>
      </c>
      <c r="J91" s="460">
        <v>8</v>
      </c>
      <c r="K91" s="460">
        <v>9</v>
      </c>
      <c r="L91" s="460">
        <v>10</v>
      </c>
      <c r="M91" s="460">
        <v>11</v>
      </c>
      <c r="N91" s="460">
        <v>12</v>
      </c>
    </row>
    <row r="92" spans="1:14" ht="15" hidden="1">
      <c r="A92" s="506" t="s">
        <v>0</v>
      </c>
      <c r="B92" s="427" t="s">
        <v>130</v>
      </c>
      <c r="C92" s="791">
        <f aca="true" t="shared" si="26" ref="C92:C97">SUM(D92,E92,H92:N92)</f>
        <v>1434611</v>
      </c>
      <c r="D92" s="799">
        <f>SUM(D93:D94)</f>
        <v>183433</v>
      </c>
      <c r="E92" s="799">
        <f aca="true" t="shared" si="27" ref="E92:J92">SUM(E93:E94)</f>
        <v>1037936</v>
      </c>
      <c r="F92" s="799">
        <f t="shared" si="27"/>
        <v>304257</v>
      </c>
      <c r="G92" s="799">
        <f t="shared" si="27"/>
        <v>733679</v>
      </c>
      <c r="H92" s="799">
        <f t="shared" si="27"/>
        <v>0</v>
      </c>
      <c r="I92" s="799">
        <f t="shared" si="27"/>
        <v>54690</v>
      </c>
      <c r="J92" s="799">
        <f t="shared" si="27"/>
        <v>0</v>
      </c>
      <c r="K92" s="799">
        <f>SUM(K93:K94)</f>
        <v>0</v>
      </c>
      <c r="L92" s="799">
        <f>SUM(L93:L94)</f>
        <v>0</v>
      </c>
      <c r="M92" s="799">
        <f>SUM(M93:M94)</f>
        <v>0</v>
      </c>
      <c r="N92" s="799">
        <f>SUM(N93:N94)</f>
        <v>158552</v>
      </c>
    </row>
    <row r="93" spans="1:14" ht="15.75" hidden="1">
      <c r="A93" s="507">
        <v>1</v>
      </c>
      <c r="B93" s="429" t="s">
        <v>131</v>
      </c>
      <c r="C93" s="796">
        <f t="shared" si="26"/>
        <v>962438</v>
      </c>
      <c r="D93" s="882">
        <v>148872</v>
      </c>
      <c r="E93" s="801">
        <f>SUM(F93:G93)</f>
        <v>780741</v>
      </c>
      <c r="F93" s="882">
        <v>260214</v>
      </c>
      <c r="G93" s="1108">
        <v>520527</v>
      </c>
      <c r="H93" s="1108">
        <v>0</v>
      </c>
      <c r="I93" s="1108">
        <v>12824</v>
      </c>
      <c r="J93" s="882">
        <v>0</v>
      </c>
      <c r="K93" s="882">
        <v>0</v>
      </c>
      <c r="L93" s="882">
        <v>0</v>
      </c>
      <c r="M93" s="882">
        <v>0</v>
      </c>
      <c r="N93" s="882">
        <v>20001</v>
      </c>
    </row>
    <row r="94" spans="1:14" ht="15.75" hidden="1">
      <c r="A94" s="507">
        <v>2</v>
      </c>
      <c r="B94" s="429" t="s">
        <v>132</v>
      </c>
      <c r="C94" s="796">
        <f t="shared" si="26"/>
        <v>472173</v>
      </c>
      <c r="D94" s="882">
        <v>34561</v>
      </c>
      <c r="E94" s="801">
        <f>SUM(F94:G94)</f>
        <v>257195</v>
      </c>
      <c r="F94" s="882">
        <v>44043</v>
      </c>
      <c r="G94" s="882">
        <v>213152</v>
      </c>
      <c r="H94" s="882">
        <v>0</v>
      </c>
      <c r="I94" s="882">
        <v>41866</v>
      </c>
      <c r="J94" s="882">
        <v>0</v>
      </c>
      <c r="K94" s="882">
        <v>0</v>
      </c>
      <c r="L94" s="882">
        <v>0</v>
      </c>
      <c r="M94" s="882">
        <v>0</v>
      </c>
      <c r="N94" s="882">
        <v>138551</v>
      </c>
    </row>
    <row r="95" spans="1:14" ht="15.75" hidden="1">
      <c r="A95" s="508" t="s">
        <v>1</v>
      </c>
      <c r="B95" s="394" t="s">
        <v>133</v>
      </c>
      <c r="C95" s="796">
        <f t="shared" si="26"/>
        <v>77790</v>
      </c>
      <c r="D95" s="882">
        <v>0</v>
      </c>
      <c r="E95" s="801">
        <f>SUM(F95:G95)</f>
        <v>77790</v>
      </c>
      <c r="F95" s="882">
        <v>1450</v>
      </c>
      <c r="G95" s="882">
        <v>76340</v>
      </c>
      <c r="H95" s="882">
        <v>0</v>
      </c>
      <c r="I95" s="882">
        <v>0</v>
      </c>
      <c r="J95" s="882">
        <v>0</v>
      </c>
      <c r="K95" s="882">
        <v>0</v>
      </c>
      <c r="L95" s="882">
        <v>0</v>
      </c>
      <c r="M95" s="882">
        <v>0</v>
      </c>
      <c r="N95" s="882">
        <v>0</v>
      </c>
    </row>
    <row r="96" spans="1:14" ht="15.75" hidden="1">
      <c r="A96" s="508" t="s">
        <v>9</v>
      </c>
      <c r="B96" s="394" t="s">
        <v>134</v>
      </c>
      <c r="C96" s="796">
        <f t="shared" si="26"/>
        <v>0</v>
      </c>
      <c r="D96" s="882">
        <v>0</v>
      </c>
      <c r="E96" s="801">
        <f>SUM(F96:G96)</f>
        <v>0</v>
      </c>
      <c r="F96" s="882">
        <v>0</v>
      </c>
      <c r="G96" s="882">
        <v>0</v>
      </c>
      <c r="H96" s="882">
        <v>0</v>
      </c>
      <c r="I96" s="882">
        <v>0</v>
      </c>
      <c r="J96" s="882">
        <v>0</v>
      </c>
      <c r="K96" s="882">
        <v>0</v>
      </c>
      <c r="L96" s="882">
        <v>0</v>
      </c>
      <c r="M96" s="882">
        <v>0</v>
      </c>
      <c r="N96" s="882">
        <v>0</v>
      </c>
    </row>
    <row r="97" spans="1:14" ht="21" customHeight="1" hidden="1">
      <c r="A97" s="508" t="s">
        <v>135</v>
      </c>
      <c r="B97" s="394" t="s">
        <v>136</v>
      </c>
      <c r="C97" s="791">
        <f t="shared" si="26"/>
        <v>1356821</v>
      </c>
      <c r="D97" s="792">
        <f>D92-SUM(D95,D96)</f>
        <v>183433</v>
      </c>
      <c r="E97" s="792">
        <f aca="true" t="shared" si="28" ref="E97:N97">E92-SUM(E95,E96)</f>
        <v>960146</v>
      </c>
      <c r="F97" s="792">
        <f t="shared" si="28"/>
        <v>302807</v>
      </c>
      <c r="G97" s="792">
        <f t="shared" si="28"/>
        <v>657339</v>
      </c>
      <c r="H97" s="792">
        <f t="shared" si="28"/>
        <v>0</v>
      </c>
      <c r="I97" s="792">
        <f t="shared" si="28"/>
        <v>54690</v>
      </c>
      <c r="J97" s="792">
        <f t="shared" si="28"/>
        <v>0</v>
      </c>
      <c r="K97" s="792">
        <f t="shared" si="28"/>
        <v>0</v>
      </c>
      <c r="L97" s="792">
        <f t="shared" si="28"/>
        <v>0</v>
      </c>
      <c r="M97" s="792">
        <f t="shared" si="28"/>
        <v>0</v>
      </c>
      <c r="N97" s="792">
        <f t="shared" si="28"/>
        <v>158552</v>
      </c>
    </row>
    <row r="98" spans="1:14" ht="15" hidden="1">
      <c r="A98" s="508" t="s">
        <v>51</v>
      </c>
      <c r="B98" s="430" t="s">
        <v>137</v>
      </c>
      <c r="C98" s="800">
        <f>SUM(C99:C106)</f>
        <v>499900</v>
      </c>
      <c r="D98" s="800">
        <f>SUM(D99:D106)</f>
        <v>52423</v>
      </c>
      <c r="E98" s="800">
        <f>SUM(E99:E106)</f>
        <v>246012</v>
      </c>
      <c r="F98" s="800">
        <f aca="true" t="shared" si="29" ref="F98:N98">SUM(F99:F106)</f>
        <v>59845</v>
      </c>
      <c r="G98" s="800">
        <f t="shared" si="29"/>
        <v>186167</v>
      </c>
      <c r="H98" s="800">
        <f t="shared" si="29"/>
        <v>0</v>
      </c>
      <c r="I98" s="800">
        <f t="shared" si="29"/>
        <v>42913</v>
      </c>
      <c r="J98" s="800">
        <f t="shared" si="29"/>
        <v>0</v>
      </c>
      <c r="K98" s="800">
        <f t="shared" si="29"/>
        <v>0</v>
      </c>
      <c r="L98" s="800">
        <f t="shared" si="29"/>
        <v>0</v>
      </c>
      <c r="M98" s="800">
        <f t="shared" si="29"/>
        <v>0</v>
      </c>
      <c r="N98" s="800">
        <f t="shared" si="29"/>
        <v>158552</v>
      </c>
    </row>
    <row r="99" spans="1:14" ht="15.75" hidden="1">
      <c r="A99" s="507" t="s">
        <v>53</v>
      </c>
      <c r="B99" s="429" t="s">
        <v>138</v>
      </c>
      <c r="C99" s="796">
        <f>SUM(D99+E99+H99+I99+J99+K99+L99+M99+N99)</f>
        <v>378934</v>
      </c>
      <c r="D99" s="882">
        <v>10771</v>
      </c>
      <c r="E99" s="801">
        <f aca="true" t="shared" si="30" ref="E99:E104">SUM(F99:G99)</f>
        <v>175541</v>
      </c>
      <c r="F99" s="882">
        <v>41818</v>
      </c>
      <c r="G99" s="882">
        <v>133723</v>
      </c>
      <c r="H99" s="882">
        <v>0</v>
      </c>
      <c r="I99" s="882">
        <v>36147</v>
      </c>
      <c r="J99" s="882">
        <v>0</v>
      </c>
      <c r="K99" s="882">
        <v>0</v>
      </c>
      <c r="L99" s="882">
        <v>0</v>
      </c>
      <c r="M99" s="882">
        <v>0</v>
      </c>
      <c r="N99" s="882">
        <v>156475</v>
      </c>
    </row>
    <row r="100" spans="1:14" ht="15.75" hidden="1">
      <c r="A100" s="507" t="s">
        <v>54</v>
      </c>
      <c r="B100" s="429" t="s">
        <v>139</v>
      </c>
      <c r="C100" s="796">
        <f>SUM(D100,E100,H100:N100)</f>
        <v>37336</v>
      </c>
      <c r="D100" s="882">
        <v>0</v>
      </c>
      <c r="E100" s="801">
        <f t="shared" si="30"/>
        <v>35461</v>
      </c>
      <c r="F100" s="882">
        <v>0</v>
      </c>
      <c r="G100" s="882">
        <v>35461</v>
      </c>
      <c r="H100" s="882">
        <v>0</v>
      </c>
      <c r="I100" s="882">
        <v>1875</v>
      </c>
      <c r="J100" s="882">
        <v>0</v>
      </c>
      <c r="K100" s="882">
        <v>0</v>
      </c>
      <c r="L100" s="882">
        <v>0</v>
      </c>
      <c r="M100" s="882">
        <v>0</v>
      </c>
      <c r="N100" s="882">
        <v>0</v>
      </c>
    </row>
    <row r="101" spans="1:14" ht="15.75" hidden="1">
      <c r="A101" s="507" t="s">
        <v>140</v>
      </c>
      <c r="B101" s="429" t="s">
        <v>201</v>
      </c>
      <c r="C101" s="796">
        <f>SUM(D101,E101,H101:N101)</f>
        <v>26409</v>
      </c>
      <c r="D101" s="882">
        <v>0</v>
      </c>
      <c r="E101" s="801">
        <f t="shared" si="30"/>
        <v>26409</v>
      </c>
      <c r="F101" s="882">
        <v>18027</v>
      </c>
      <c r="G101" s="882">
        <v>8382</v>
      </c>
      <c r="H101" s="882">
        <v>0</v>
      </c>
      <c r="I101" s="882">
        <v>0</v>
      </c>
      <c r="J101" s="882">
        <v>0</v>
      </c>
      <c r="K101" s="882">
        <v>0</v>
      </c>
      <c r="L101" s="882">
        <v>0</v>
      </c>
      <c r="M101" s="882">
        <v>0</v>
      </c>
      <c r="N101" s="882">
        <v>0</v>
      </c>
    </row>
    <row r="102" spans="1:14" ht="15.75" hidden="1">
      <c r="A102" s="507" t="s">
        <v>142</v>
      </c>
      <c r="B102" s="429" t="s">
        <v>141</v>
      </c>
      <c r="C102" s="796">
        <f>D102+E102+H102+I102+J102+K102+L102+M102+N102</f>
        <v>56221</v>
      </c>
      <c r="D102" s="882">
        <v>41652</v>
      </c>
      <c r="E102" s="801">
        <f t="shared" si="30"/>
        <v>8601</v>
      </c>
      <c r="F102" s="882">
        <v>0</v>
      </c>
      <c r="G102" s="882">
        <v>8601</v>
      </c>
      <c r="H102" s="882">
        <v>0</v>
      </c>
      <c r="I102" s="882">
        <v>4891</v>
      </c>
      <c r="J102" s="882">
        <v>0</v>
      </c>
      <c r="K102" s="882">
        <v>0</v>
      </c>
      <c r="L102" s="882">
        <v>0</v>
      </c>
      <c r="M102" s="882">
        <v>0</v>
      </c>
      <c r="N102" s="882">
        <v>1077</v>
      </c>
    </row>
    <row r="103" spans="1:14" ht="15.75" hidden="1">
      <c r="A103" s="507" t="s">
        <v>144</v>
      </c>
      <c r="B103" s="429" t="s">
        <v>143</v>
      </c>
      <c r="C103" s="797">
        <f>SUM(D103,E103,H103:N103)</f>
        <v>0</v>
      </c>
      <c r="D103" s="882">
        <v>0</v>
      </c>
      <c r="E103" s="805">
        <f t="shared" si="30"/>
        <v>0</v>
      </c>
      <c r="F103" s="882">
        <v>0</v>
      </c>
      <c r="G103" s="882">
        <v>0</v>
      </c>
      <c r="H103" s="882">
        <v>0</v>
      </c>
      <c r="I103" s="882">
        <v>0</v>
      </c>
      <c r="J103" s="882">
        <v>0</v>
      </c>
      <c r="K103" s="882">
        <v>0</v>
      </c>
      <c r="L103" s="882">
        <v>0</v>
      </c>
      <c r="M103" s="882">
        <v>0</v>
      </c>
      <c r="N103" s="882">
        <v>0</v>
      </c>
    </row>
    <row r="104" spans="1:14" ht="15.75" hidden="1">
      <c r="A104" s="507" t="s">
        <v>146</v>
      </c>
      <c r="B104" s="429" t="s">
        <v>145</v>
      </c>
      <c r="C104" s="796">
        <f>SUM(D104,E104,H104:N104)</f>
        <v>0</v>
      </c>
      <c r="D104" s="882">
        <v>0</v>
      </c>
      <c r="E104" s="801">
        <f t="shared" si="30"/>
        <v>0</v>
      </c>
      <c r="F104" s="882">
        <v>0</v>
      </c>
      <c r="G104" s="882">
        <v>0</v>
      </c>
      <c r="H104" s="882">
        <v>0</v>
      </c>
      <c r="I104" s="882">
        <v>0</v>
      </c>
      <c r="J104" s="882">
        <v>0</v>
      </c>
      <c r="K104" s="882">
        <v>0</v>
      </c>
      <c r="L104" s="882">
        <v>0</v>
      </c>
      <c r="M104" s="882">
        <v>0</v>
      </c>
      <c r="N104" s="882">
        <v>0</v>
      </c>
    </row>
    <row r="105" spans="1:14" ht="25.5" hidden="1">
      <c r="A105" s="507" t="s">
        <v>148</v>
      </c>
      <c r="B105" s="431" t="s">
        <v>147</v>
      </c>
      <c r="C105" s="796">
        <f>SUM(D105,E105,H105:N105)</f>
        <v>0</v>
      </c>
      <c r="D105" s="882">
        <v>0</v>
      </c>
      <c r="E105" s="801">
        <f>SUM(F105:G105)</f>
        <v>0</v>
      </c>
      <c r="F105" s="882">
        <v>0</v>
      </c>
      <c r="G105" s="882">
        <v>0</v>
      </c>
      <c r="H105" s="882">
        <v>0</v>
      </c>
      <c r="I105" s="882">
        <v>0</v>
      </c>
      <c r="J105" s="882">
        <v>0</v>
      </c>
      <c r="K105" s="882">
        <v>0</v>
      </c>
      <c r="L105" s="882">
        <v>0</v>
      </c>
      <c r="M105" s="882">
        <v>0</v>
      </c>
      <c r="N105" s="882">
        <v>0</v>
      </c>
    </row>
    <row r="106" spans="1:14" ht="15.75" hidden="1">
      <c r="A106" s="507" t="s">
        <v>185</v>
      </c>
      <c r="B106" s="429" t="s">
        <v>149</v>
      </c>
      <c r="C106" s="796">
        <f>SUM(D106,E106,H106:N106)</f>
        <v>1000</v>
      </c>
      <c r="D106" s="882">
        <v>0</v>
      </c>
      <c r="E106" s="801">
        <f>SUM(F106:G106)</f>
        <v>0</v>
      </c>
      <c r="F106" s="882">
        <v>0</v>
      </c>
      <c r="G106" s="882">
        <v>0</v>
      </c>
      <c r="H106" s="882">
        <v>0</v>
      </c>
      <c r="I106" s="882">
        <v>0</v>
      </c>
      <c r="J106" s="882">
        <v>0</v>
      </c>
      <c r="K106" s="882">
        <v>0</v>
      </c>
      <c r="L106" s="882">
        <v>0</v>
      </c>
      <c r="M106" s="882">
        <v>0</v>
      </c>
      <c r="N106" s="882">
        <v>1000</v>
      </c>
    </row>
    <row r="107" spans="1:14" ht="18.75" customHeight="1" hidden="1">
      <c r="A107" s="508" t="s">
        <v>52</v>
      </c>
      <c r="B107" s="394" t="s">
        <v>150</v>
      </c>
      <c r="C107" s="791">
        <f>C97-C98</f>
        <v>856921</v>
      </c>
      <c r="D107" s="791">
        <f>D97-D98</f>
        <v>131010</v>
      </c>
      <c r="E107" s="791">
        <f>E97-E98</f>
        <v>714134</v>
      </c>
      <c r="F107" s="791">
        <f>F97-F98</f>
        <v>242962</v>
      </c>
      <c r="G107" s="791">
        <f>G97-G98</f>
        <v>471172</v>
      </c>
      <c r="H107" s="791">
        <f aca="true" t="shared" si="31" ref="H107:N107">H97-H98</f>
        <v>0</v>
      </c>
      <c r="I107" s="791">
        <f t="shared" si="31"/>
        <v>11777</v>
      </c>
      <c r="J107" s="791">
        <f t="shared" si="31"/>
        <v>0</v>
      </c>
      <c r="K107" s="791">
        <f t="shared" si="31"/>
        <v>0</v>
      </c>
      <c r="L107" s="791">
        <f t="shared" si="31"/>
        <v>0</v>
      </c>
      <c r="M107" s="791">
        <f t="shared" si="31"/>
        <v>0</v>
      </c>
      <c r="N107" s="791">
        <f t="shared" si="31"/>
        <v>0</v>
      </c>
    </row>
    <row r="108" spans="1:14" ht="27" customHeight="1" hidden="1">
      <c r="A108" s="534" t="s">
        <v>538</v>
      </c>
      <c r="B108" s="463" t="s">
        <v>202</v>
      </c>
      <c r="C108" s="532">
        <f>(C99+C100+C101)/C98</f>
        <v>0.8855351070214043</v>
      </c>
      <c r="D108" s="533">
        <f aca="true" t="shared" si="32" ref="D108:N108">(D99+D100+D101)/D98</f>
        <v>0.20546325086317074</v>
      </c>
      <c r="E108" s="532">
        <f t="shared" si="32"/>
        <v>0.9650382908150822</v>
      </c>
      <c r="F108" s="533">
        <f t="shared" si="32"/>
        <v>1</v>
      </c>
      <c r="G108" s="533">
        <f t="shared" si="32"/>
        <v>0.9537995455693007</v>
      </c>
      <c r="H108" s="533" t="e">
        <f t="shared" si="32"/>
        <v>#DIV/0!</v>
      </c>
      <c r="I108" s="533">
        <f t="shared" si="32"/>
        <v>0.8860252138046746</v>
      </c>
      <c r="J108" s="533" t="e">
        <f t="shared" si="32"/>
        <v>#DIV/0!</v>
      </c>
      <c r="K108" s="533" t="e">
        <f t="shared" si="32"/>
        <v>#DIV/0!</v>
      </c>
      <c r="L108" s="533" t="e">
        <f t="shared" si="32"/>
        <v>#DIV/0!</v>
      </c>
      <c r="M108" s="533" t="e">
        <f t="shared" si="32"/>
        <v>#DIV/0!</v>
      </c>
      <c r="N108" s="533">
        <f t="shared" si="32"/>
        <v>0.9869001967808668</v>
      </c>
    </row>
    <row r="109" ht="15" hidden="1"/>
    <row r="110" ht="15" hidden="1">
      <c r="B110" s="388" t="s">
        <v>745</v>
      </c>
    </row>
    <row r="111" spans="1:14" ht="15" customHeight="1" hidden="1">
      <c r="A111" s="1573" t="s">
        <v>68</v>
      </c>
      <c r="B111" s="1574"/>
      <c r="C111" s="1579" t="s">
        <v>37</v>
      </c>
      <c r="D111" s="1582" t="s">
        <v>336</v>
      </c>
      <c r="E111" s="1583"/>
      <c r="F111" s="1583"/>
      <c r="G111" s="1583"/>
      <c r="H111" s="1583"/>
      <c r="I111" s="1583"/>
      <c r="J111" s="1583"/>
      <c r="K111" s="1583"/>
      <c r="L111" s="1583"/>
      <c r="M111" s="1583"/>
      <c r="N111" s="1584"/>
    </row>
    <row r="112" spans="1:14" ht="20.25" customHeight="1" hidden="1">
      <c r="A112" s="1575"/>
      <c r="B112" s="1576"/>
      <c r="C112" s="1580"/>
      <c r="D112" s="1568" t="s">
        <v>119</v>
      </c>
      <c r="E112" s="1571" t="s">
        <v>196</v>
      </c>
      <c r="F112" s="1588"/>
      <c r="G112" s="1572"/>
      <c r="H112" s="1568" t="s">
        <v>197</v>
      </c>
      <c r="I112" s="1568" t="s">
        <v>122</v>
      </c>
      <c r="J112" s="1568" t="s">
        <v>198</v>
      </c>
      <c r="K112" s="1568" t="s">
        <v>124</v>
      </c>
      <c r="L112" s="1568" t="s">
        <v>125</v>
      </c>
      <c r="M112" s="1568" t="s">
        <v>126</v>
      </c>
      <c r="N112" s="1568" t="s">
        <v>127</v>
      </c>
    </row>
    <row r="113" spans="1:14" ht="14.25" customHeight="1" hidden="1">
      <c r="A113" s="1575"/>
      <c r="B113" s="1576"/>
      <c r="C113" s="1580"/>
      <c r="D113" s="1569"/>
      <c r="E113" s="1568" t="s">
        <v>36</v>
      </c>
      <c r="F113" s="1571" t="s">
        <v>7</v>
      </c>
      <c r="G113" s="1572"/>
      <c r="H113" s="1569"/>
      <c r="I113" s="1569"/>
      <c r="J113" s="1569"/>
      <c r="K113" s="1569"/>
      <c r="L113" s="1569"/>
      <c r="M113" s="1569"/>
      <c r="N113" s="1569"/>
    </row>
    <row r="114" spans="1:14" ht="14.25" customHeight="1" hidden="1">
      <c r="A114" s="1577"/>
      <c r="B114" s="1578"/>
      <c r="C114" s="1581"/>
      <c r="D114" s="1570"/>
      <c r="E114" s="1570"/>
      <c r="F114" s="559" t="s">
        <v>199</v>
      </c>
      <c r="G114" s="560" t="s">
        <v>200</v>
      </c>
      <c r="H114" s="1570"/>
      <c r="I114" s="1570"/>
      <c r="J114" s="1570"/>
      <c r="K114" s="1570"/>
      <c r="L114" s="1570"/>
      <c r="M114" s="1570"/>
      <c r="N114" s="1570"/>
    </row>
    <row r="115" spans="1:14" ht="15.75" hidden="1">
      <c r="A115" s="1623" t="s">
        <v>39</v>
      </c>
      <c r="B115" s="1624"/>
      <c r="C115" s="460">
        <v>1</v>
      </c>
      <c r="D115" s="460">
        <v>2</v>
      </c>
      <c r="E115" s="460">
        <v>3</v>
      </c>
      <c r="F115" s="460">
        <v>4</v>
      </c>
      <c r="G115" s="460">
        <v>5</v>
      </c>
      <c r="H115" s="460">
        <v>6</v>
      </c>
      <c r="I115" s="460">
        <v>7</v>
      </c>
      <c r="J115" s="460">
        <v>8</v>
      </c>
      <c r="K115" s="460">
        <v>9</v>
      </c>
      <c r="L115" s="460">
        <v>10</v>
      </c>
      <c r="M115" s="460">
        <v>11</v>
      </c>
      <c r="N115" s="460">
        <v>12</v>
      </c>
    </row>
    <row r="116" spans="1:14" ht="15" hidden="1">
      <c r="A116" s="506" t="s">
        <v>0</v>
      </c>
      <c r="B116" s="427" t="s">
        <v>130</v>
      </c>
      <c r="C116" s="791">
        <f aca="true" t="shared" si="33" ref="C116:C121">SUM(D116,E116,H116:N116)</f>
        <v>2706030</v>
      </c>
      <c r="D116" s="799">
        <f>SUM(D117:D118)</f>
        <v>300487</v>
      </c>
      <c r="E116" s="799">
        <f aca="true" t="shared" si="34" ref="E116:J116">SUM(E117:E118)</f>
        <v>2304819</v>
      </c>
      <c r="F116" s="799">
        <f t="shared" si="34"/>
        <v>121403</v>
      </c>
      <c r="G116" s="799">
        <f t="shared" si="34"/>
        <v>2183416</v>
      </c>
      <c r="H116" s="799">
        <f t="shared" si="34"/>
        <v>0</v>
      </c>
      <c r="I116" s="799">
        <f t="shared" si="34"/>
        <v>100724</v>
      </c>
      <c r="J116" s="799">
        <f t="shared" si="34"/>
        <v>0</v>
      </c>
      <c r="K116" s="799">
        <f>SUM(K117:K118)</f>
        <v>0</v>
      </c>
      <c r="L116" s="799">
        <f>SUM(L117:L118)</f>
        <v>0</v>
      </c>
      <c r="M116" s="799">
        <f>SUM(M117:M118)</f>
        <v>0</v>
      </c>
      <c r="N116" s="799">
        <f>SUM(N117:N118)</f>
        <v>0</v>
      </c>
    </row>
    <row r="117" spans="1:14" ht="15.75" customHeight="1" hidden="1">
      <c r="A117" s="507">
        <v>1</v>
      </c>
      <c r="B117" s="429" t="s">
        <v>131</v>
      </c>
      <c r="C117" s="796">
        <f t="shared" si="33"/>
        <v>2119493</v>
      </c>
      <c r="D117" s="820">
        <v>163334</v>
      </c>
      <c r="E117" s="801">
        <f>SUM(F117:G117)</f>
        <v>1930444</v>
      </c>
      <c r="F117" s="820">
        <v>107108</v>
      </c>
      <c r="G117" s="820">
        <v>1823336</v>
      </c>
      <c r="H117" s="820">
        <v>0</v>
      </c>
      <c r="I117" s="820">
        <v>25715</v>
      </c>
      <c r="J117" s="820">
        <v>0</v>
      </c>
      <c r="K117" s="406"/>
      <c r="L117" s="864"/>
      <c r="M117" s="864"/>
      <c r="N117" s="864"/>
    </row>
    <row r="118" spans="1:14" ht="15.75" hidden="1">
      <c r="A118" s="507">
        <v>2</v>
      </c>
      <c r="B118" s="429" t="s">
        <v>132</v>
      </c>
      <c r="C118" s="796">
        <f t="shared" si="33"/>
        <v>586537</v>
      </c>
      <c r="D118" s="820">
        <v>137153</v>
      </c>
      <c r="E118" s="801">
        <f>SUM(F118:G118)</f>
        <v>374375</v>
      </c>
      <c r="F118" s="820">
        <v>14295</v>
      </c>
      <c r="G118" s="820">
        <v>360080</v>
      </c>
      <c r="H118" s="820">
        <v>0</v>
      </c>
      <c r="I118" s="820">
        <v>75009</v>
      </c>
      <c r="J118" s="820">
        <v>0</v>
      </c>
      <c r="K118" s="406"/>
      <c r="L118" s="863"/>
      <c r="M118" s="863"/>
      <c r="N118" s="863"/>
    </row>
    <row r="119" spans="1:14" ht="17.25" customHeight="1" hidden="1">
      <c r="A119" s="508" t="s">
        <v>1</v>
      </c>
      <c r="B119" s="394" t="s">
        <v>133</v>
      </c>
      <c r="C119" s="796">
        <f t="shared" si="33"/>
        <v>3200</v>
      </c>
      <c r="D119" s="406"/>
      <c r="E119" s="801">
        <f>SUM(F119:G119)</f>
        <v>3200</v>
      </c>
      <c r="F119" s="820">
        <v>0</v>
      </c>
      <c r="G119" s="820">
        <v>3200</v>
      </c>
      <c r="H119" s="820">
        <v>0</v>
      </c>
      <c r="I119" s="820">
        <v>0</v>
      </c>
      <c r="J119" s="820">
        <v>0</v>
      </c>
      <c r="K119" s="406"/>
      <c r="L119" s="946"/>
      <c r="M119" s="946"/>
      <c r="N119" s="946"/>
    </row>
    <row r="120" spans="1:14" ht="15.75" customHeight="1" hidden="1">
      <c r="A120" s="508" t="s">
        <v>9</v>
      </c>
      <c r="B120" s="394" t="s">
        <v>134</v>
      </c>
      <c r="C120" s="796">
        <f t="shared" si="33"/>
        <v>0</v>
      </c>
      <c r="D120" s="406"/>
      <c r="E120" s="801">
        <f>SUM(F120:G120)</f>
        <v>0</v>
      </c>
      <c r="F120" s="406"/>
      <c r="G120" s="406"/>
      <c r="H120" s="406"/>
      <c r="I120" s="406"/>
      <c r="J120" s="406"/>
      <c r="K120" s="406"/>
      <c r="L120" s="406"/>
      <c r="M120" s="406"/>
      <c r="N120" s="406"/>
    </row>
    <row r="121" spans="1:14" ht="15" hidden="1">
      <c r="A121" s="508" t="s">
        <v>135</v>
      </c>
      <c r="B121" s="394" t="s">
        <v>136</v>
      </c>
      <c r="C121" s="791">
        <f t="shared" si="33"/>
        <v>2702830</v>
      </c>
      <c r="D121" s="792">
        <f>D116-SUM(D119,D120)</f>
        <v>300487</v>
      </c>
      <c r="E121" s="792">
        <f aca="true" t="shared" si="35" ref="E121:N121">E116-SUM(E119,E120)</f>
        <v>2301619</v>
      </c>
      <c r="F121" s="792">
        <f t="shared" si="35"/>
        <v>121403</v>
      </c>
      <c r="G121" s="792">
        <f t="shared" si="35"/>
        <v>2180216</v>
      </c>
      <c r="H121" s="792">
        <f t="shared" si="35"/>
        <v>0</v>
      </c>
      <c r="I121" s="792">
        <f t="shared" si="35"/>
        <v>100724</v>
      </c>
      <c r="J121" s="792">
        <f t="shared" si="35"/>
        <v>0</v>
      </c>
      <c r="K121" s="792">
        <f t="shared" si="35"/>
        <v>0</v>
      </c>
      <c r="L121" s="792">
        <f t="shared" si="35"/>
        <v>0</v>
      </c>
      <c r="M121" s="792">
        <f t="shared" si="35"/>
        <v>0</v>
      </c>
      <c r="N121" s="792">
        <f t="shared" si="35"/>
        <v>0</v>
      </c>
    </row>
    <row r="122" spans="1:14" ht="15" hidden="1">
      <c r="A122" s="508" t="s">
        <v>51</v>
      </c>
      <c r="B122" s="430" t="s">
        <v>137</v>
      </c>
      <c r="C122" s="800">
        <f>SUM(C123:C130)</f>
        <v>1006148</v>
      </c>
      <c r="D122" s="800">
        <f>SUM(D123:D130)</f>
        <v>213223</v>
      </c>
      <c r="E122" s="800">
        <f>SUM(E123:E130)</f>
        <v>715766</v>
      </c>
      <c r="F122" s="800">
        <f aca="true" t="shared" si="36" ref="F122:N122">SUM(F123:F130)</f>
        <v>14044</v>
      </c>
      <c r="G122" s="800">
        <f t="shared" si="36"/>
        <v>701722</v>
      </c>
      <c r="H122" s="800">
        <f t="shared" si="36"/>
        <v>0</v>
      </c>
      <c r="I122" s="800">
        <f t="shared" si="36"/>
        <v>77159</v>
      </c>
      <c r="J122" s="800">
        <f t="shared" si="36"/>
        <v>0</v>
      </c>
      <c r="K122" s="800">
        <f t="shared" si="36"/>
        <v>0</v>
      </c>
      <c r="L122" s="800">
        <f t="shared" si="36"/>
        <v>0</v>
      </c>
      <c r="M122" s="800">
        <f t="shared" si="36"/>
        <v>0</v>
      </c>
      <c r="N122" s="800">
        <f t="shared" si="36"/>
        <v>0</v>
      </c>
    </row>
    <row r="123" spans="1:14" ht="15.75" hidden="1">
      <c r="A123" s="507" t="s">
        <v>53</v>
      </c>
      <c r="B123" s="429" t="s">
        <v>138</v>
      </c>
      <c r="C123" s="796">
        <f>SUM(D123,E123,H123:N123)</f>
        <v>564164</v>
      </c>
      <c r="D123" s="820">
        <v>135879</v>
      </c>
      <c r="E123" s="801">
        <f aca="true" t="shared" si="37" ref="E123:E128">SUM(F123:G123)</f>
        <v>361213</v>
      </c>
      <c r="F123" s="406">
        <v>7804</v>
      </c>
      <c r="G123" s="406">
        <v>353409</v>
      </c>
      <c r="H123" s="406">
        <v>0</v>
      </c>
      <c r="I123" s="406">
        <v>67072</v>
      </c>
      <c r="J123" s="406">
        <v>0</v>
      </c>
      <c r="K123" s="406">
        <v>0</v>
      </c>
      <c r="L123" s="865"/>
      <c r="M123" s="865"/>
      <c r="N123" s="865"/>
    </row>
    <row r="124" spans="1:14" ht="15.75" hidden="1">
      <c r="A124" s="507" t="s">
        <v>54</v>
      </c>
      <c r="B124" s="429" t="s">
        <v>139</v>
      </c>
      <c r="C124" s="796">
        <f>SUM(D124,E124,H124:N124)</f>
        <v>308510</v>
      </c>
      <c r="D124" s="820">
        <v>0</v>
      </c>
      <c r="E124" s="801">
        <f t="shared" si="37"/>
        <v>308510</v>
      </c>
      <c r="F124" s="406">
        <v>0</v>
      </c>
      <c r="G124" s="406">
        <v>308510</v>
      </c>
      <c r="H124" s="406">
        <v>0</v>
      </c>
      <c r="I124" s="406">
        <v>0</v>
      </c>
      <c r="J124" s="406">
        <v>0</v>
      </c>
      <c r="K124" s="406">
        <v>0</v>
      </c>
      <c r="L124" s="863"/>
      <c r="M124" s="863"/>
      <c r="N124" s="863"/>
    </row>
    <row r="125" spans="1:14" ht="19.5" customHeight="1" hidden="1">
      <c r="A125" s="507" t="s">
        <v>140</v>
      </c>
      <c r="B125" s="429" t="s">
        <v>201</v>
      </c>
      <c r="C125" s="796">
        <f>SUM(D125,E125,H125:N125)</f>
        <v>0</v>
      </c>
      <c r="D125" s="820">
        <v>0</v>
      </c>
      <c r="E125" s="801">
        <f t="shared" si="37"/>
        <v>0</v>
      </c>
      <c r="F125" s="406">
        <v>0</v>
      </c>
      <c r="G125" s="406">
        <v>0</v>
      </c>
      <c r="H125" s="406">
        <v>0</v>
      </c>
      <c r="I125" s="406">
        <v>0</v>
      </c>
      <c r="J125" s="406">
        <v>0</v>
      </c>
      <c r="K125" s="406">
        <v>0</v>
      </c>
      <c r="L125" s="863"/>
      <c r="M125" s="863"/>
      <c r="N125" s="863"/>
    </row>
    <row r="126" spans="1:14" ht="15.75" hidden="1">
      <c r="A126" s="507" t="s">
        <v>142</v>
      </c>
      <c r="B126" s="429" t="s">
        <v>141</v>
      </c>
      <c r="C126" s="796">
        <f>D126+E126+H126+I126+J126+K126+L126+M126+N126</f>
        <v>108592</v>
      </c>
      <c r="D126" s="820">
        <v>54802</v>
      </c>
      <c r="E126" s="801">
        <f t="shared" si="37"/>
        <v>43703</v>
      </c>
      <c r="F126" s="406">
        <v>6240</v>
      </c>
      <c r="G126" s="406">
        <v>37463</v>
      </c>
      <c r="H126" s="406">
        <v>0</v>
      </c>
      <c r="I126" s="406">
        <v>10087</v>
      </c>
      <c r="J126" s="406">
        <v>0</v>
      </c>
      <c r="K126" s="406">
        <v>0</v>
      </c>
      <c r="L126" s="863"/>
      <c r="M126" s="863"/>
      <c r="N126" s="863"/>
    </row>
    <row r="127" spans="1:14" ht="15.75" hidden="1">
      <c r="A127" s="507" t="s">
        <v>144</v>
      </c>
      <c r="B127" s="429" t="s">
        <v>143</v>
      </c>
      <c r="C127" s="797">
        <f>SUM(D127,E127,H127:N127)</f>
        <v>22206</v>
      </c>
      <c r="D127" s="820">
        <v>22206</v>
      </c>
      <c r="E127" s="805">
        <f t="shared" si="37"/>
        <v>0</v>
      </c>
      <c r="F127" s="406">
        <v>0</v>
      </c>
      <c r="G127" s="406">
        <v>0</v>
      </c>
      <c r="H127" s="406">
        <v>0</v>
      </c>
      <c r="I127" s="406">
        <v>0</v>
      </c>
      <c r="J127" s="406">
        <v>0</v>
      </c>
      <c r="K127" s="406">
        <v>0</v>
      </c>
      <c r="L127" s="863"/>
      <c r="M127" s="863"/>
      <c r="N127" s="863">
        <v>0</v>
      </c>
    </row>
    <row r="128" spans="1:14" ht="0.75" customHeight="1" hidden="1">
      <c r="A128" s="507" t="s">
        <v>146</v>
      </c>
      <c r="B128" s="429" t="s">
        <v>145</v>
      </c>
      <c r="C128" s="796">
        <f>SUM(D128,E128,H128:N128)</f>
        <v>0</v>
      </c>
      <c r="D128" s="820">
        <v>0</v>
      </c>
      <c r="E128" s="801">
        <f t="shared" si="37"/>
        <v>0</v>
      </c>
      <c r="F128" s="406">
        <v>0</v>
      </c>
      <c r="G128" s="406">
        <v>0</v>
      </c>
      <c r="H128" s="406">
        <v>0</v>
      </c>
      <c r="I128" s="406">
        <v>0</v>
      </c>
      <c r="J128" s="406">
        <v>0</v>
      </c>
      <c r="K128" s="406">
        <v>0</v>
      </c>
      <c r="L128" s="804"/>
      <c r="M128" s="804"/>
      <c r="N128" s="804"/>
    </row>
    <row r="129" spans="1:14" ht="25.5" hidden="1">
      <c r="A129" s="507" t="s">
        <v>148</v>
      </c>
      <c r="B129" s="431" t="s">
        <v>147</v>
      </c>
      <c r="C129" s="796">
        <f>SUM(D129,E129,H129:N129)</f>
        <v>0</v>
      </c>
      <c r="D129" s="820">
        <v>0</v>
      </c>
      <c r="E129" s="801">
        <f>SUM(F129:G129)</f>
        <v>0</v>
      </c>
      <c r="F129" s="406">
        <v>0</v>
      </c>
      <c r="G129" s="406">
        <v>0</v>
      </c>
      <c r="H129" s="406">
        <v>0</v>
      </c>
      <c r="I129" s="406">
        <v>0</v>
      </c>
      <c r="J129" s="406">
        <v>0</v>
      </c>
      <c r="K129" s="406">
        <v>0</v>
      </c>
      <c r="L129" s="804"/>
      <c r="M129" s="804"/>
      <c r="N129" s="804"/>
    </row>
    <row r="130" spans="1:14" ht="15.75" hidden="1">
      <c r="A130" s="507" t="s">
        <v>185</v>
      </c>
      <c r="B130" s="429" t="s">
        <v>149</v>
      </c>
      <c r="C130" s="796">
        <f>SUM(D130,E130,H130:N130)</f>
        <v>2676</v>
      </c>
      <c r="D130" s="820">
        <v>336</v>
      </c>
      <c r="E130" s="801">
        <f>SUM(F130:G130)</f>
        <v>2340</v>
      </c>
      <c r="F130" s="406">
        <v>0</v>
      </c>
      <c r="G130" s="406">
        <v>2340</v>
      </c>
      <c r="H130" s="406">
        <v>0</v>
      </c>
      <c r="I130" s="406">
        <v>0</v>
      </c>
      <c r="J130" s="406">
        <v>0</v>
      </c>
      <c r="K130" s="406">
        <v>0</v>
      </c>
      <c r="L130" s="804"/>
      <c r="M130" s="804"/>
      <c r="N130" s="804"/>
    </row>
    <row r="131" spans="1:14" ht="21.75" customHeight="1" hidden="1">
      <c r="A131" s="508" t="s">
        <v>52</v>
      </c>
      <c r="B131" s="394" t="s">
        <v>150</v>
      </c>
      <c r="C131" s="791">
        <f>C121-C122</f>
        <v>1696682</v>
      </c>
      <c r="D131" s="791">
        <f>D121-D122</f>
        <v>87264</v>
      </c>
      <c r="E131" s="791">
        <f>E121-E122</f>
        <v>1585853</v>
      </c>
      <c r="F131" s="791">
        <f>F121-F122</f>
        <v>107359</v>
      </c>
      <c r="G131" s="791">
        <f>G121-G122</f>
        <v>1478494</v>
      </c>
      <c r="H131" s="791">
        <f aca="true" t="shared" si="38" ref="H131:N131">H121-H122</f>
        <v>0</v>
      </c>
      <c r="I131" s="791">
        <f t="shared" si="38"/>
        <v>23565</v>
      </c>
      <c r="J131" s="791">
        <f t="shared" si="38"/>
        <v>0</v>
      </c>
      <c r="K131" s="791">
        <f t="shared" si="38"/>
        <v>0</v>
      </c>
      <c r="L131" s="791">
        <f t="shared" si="38"/>
        <v>0</v>
      </c>
      <c r="M131" s="791">
        <f t="shared" si="38"/>
        <v>0</v>
      </c>
      <c r="N131" s="791">
        <f t="shared" si="38"/>
        <v>0</v>
      </c>
    </row>
    <row r="132" spans="1:14" ht="31.5" customHeight="1" hidden="1">
      <c r="A132" s="534" t="s">
        <v>538</v>
      </c>
      <c r="B132" s="463" t="s">
        <v>202</v>
      </c>
      <c r="C132" s="532">
        <f>(C123+C124+C125)/C122</f>
        <v>0.8673415839419251</v>
      </c>
      <c r="D132" s="533">
        <f aca="true" t="shared" si="39" ref="D132:N132">(D123+D124+D125)/D122</f>
        <v>0.6372623966457652</v>
      </c>
      <c r="E132" s="532">
        <f t="shared" si="39"/>
        <v>0.935673111044671</v>
      </c>
      <c r="F132" s="533">
        <f t="shared" si="39"/>
        <v>0.5556821418399317</v>
      </c>
      <c r="G132" s="533">
        <f t="shared" si="39"/>
        <v>0.9432781072846512</v>
      </c>
      <c r="H132" s="533" t="e">
        <f t="shared" si="39"/>
        <v>#DIV/0!</v>
      </c>
      <c r="I132" s="533">
        <f t="shared" si="39"/>
        <v>0.8692699490662139</v>
      </c>
      <c r="J132" s="533" t="e">
        <f t="shared" si="39"/>
        <v>#DIV/0!</v>
      </c>
      <c r="K132" s="533" t="e">
        <f t="shared" si="39"/>
        <v>#DIV/0!</v>
      </c>
      <c r="L132" s="533" t="e">
        <f t="shared" si="39"/>
        <v>#DIV/0!</v>
      </c>
      <c r="M132" s="533" t="e">
        <f t="shared" si="39"/>
        <v>#DIV/0!</v>
      </c>
      <c r="N132" s="533" t="e">
        <f t="shared" si="39"/>
        <v>#DIV/0!</v>
      </c>
    </row>
    <row r="133" ht="0.75" customHeight="1" hidden="1"/>
    <row r="134" ht="15" hidden="1">
      <c r="B134" s="920" t="s">
        <v>744</v>
      </c>
    </row>
    <row r="135" ht="15" hidden="1"/>
    <row r="136" spans="1:14" ht="2.25" customHeight="1" hidden="1">
      <c r="A136" s="1573" t="s">
        <v>68</v>
      </c>
      <c r="B136" s="1574"/>
      <c r="C136" s="1579" t="s">
        <v>37</v>
      </c>
      <c r="D136" s="1582" t="s">
        <v>336</v>
      </c>
      <c r="E136" s="1583"/>
      <c r="F136" s="1583"/>
      <c r="G136" s="1583"/>
      <c r="H136" s="1583"/>
      <c r="I136" s="1583"/>
      <c r="J136" s="1583"/>
      <c r="K136" s="1583"/>
      <c r="L136" s="1583"/>
      <c r="M136" s="1583"/>
      <c r="N136" s="1584"/>
    </row>
    <row r="137" spans="1:14" ht="15" customHeight="1" hidden="1">
      <c r="A137" s="1575"/>
      <c r="B137" s="1576"/>
      <c r="C137" s="1580"/>
      <c r="D137" s="1568" t="s">
        <v>195</v>
      </c>
      <c r="E137" s="1571" t="s">
        <v>196</v>
      </c>
      <c r="F137" s="1588"/>
      <c r="G137" s="1572"/>
      <c r="H137" s="1568" t="s">
        <v>197</v>
      </c>
      <c r="I137" s="1568" t="s">
        <v>122</v>
      </c>
      <c r="J137" s="1568" t="s">
        <v>198</v>
      </c>
      <c r="K137" s="1568" t="s">
        <v>124</v>
      </c>
      <c r="L137" s="1568" t="s">
        <v>125</v>
      </c>
      <c r="M137" s="1568" t="s">
        <v>126</v>
      </c>
      <c r="N137" s="1568" t="s">
        <v>127</v>
      </c>
    </row>
    <row r="138" spans="1:14" ht="15" hidden="1">
      <c r="A138" s="1575"/>
      <c r="B138" s="1576"/>
      <c r="C138" s="1580"/>
      <c r="D138" s="1569"/>
      <c r="E138" s="1568" t="s">
        <v>36</v>
      </c>
      <c r="F138" s="1571" t="s">
        <v>7</v>
      </c>
      <c r="G138" s="1572"/>
      <c r="H138" s="1569"/>
      <c r="I138" s="1569"/>
      <c r="J138" s="1569"/>
      <c r="K138" s="1569"/>
      <c r="L138" s="1569"/>
      <c r="M138" s="1569"/>
      <c r="N138" s="1569"/>
    </row>
    <row r="139" spans="1:14" ht="15" hidden="1">
      <c r="A139" s="1577"/>
      <c r="B139" s="1578"/>
      <c r="C139" s="1581"/>
      <c r="D139" s="1570"/>
      <c r="E139" s="1570"/>
      <c r="F139" s="559" t="s">
        <v>199</v>
      </c>
      <c r="G139" s="560" t="s">
        <v>200</v>
      </c>
      <c r="H139" s="1570"/>
      <c r="I139" s="1570"/>
      <c r="J139" s="1570"/>
      <c r="K139" s="1570"/>
      <c r="L139" s="1570"/>
      <c r="M139" s="1570"/>
      <c r="N139" s="1570"/>
    </row>
    <row r="140" spans="1:14" ht="15.75" hidden="1">
      <c r="A140" s="1623" t="s">
        <v>39</v>
      </c>
      <c r="B140" s="1624"/>
      <c r="C140" s="460">
        <v>1</v>
      </c>
      <c r="D140" s="460">
        <v>2</v>
      </c>
      <c r="E140" s="460">
        <v>3</v>
      </c>
      <c r="F140" s="460">
        <v>4</v>
      </c>
      <c r="G140" s="460">
        <v>5</v>
      </c>
      <c r="H140" s="460">
        <v>6</v>
      </c>
      <c r="I140" s="460">
        <v>7</v>
      </c>
      <c r="J140" s="460">
        <v>8</v>
      </c>
      <c r="K140" s="460">
        <v>9</v>
      </c>
      <c r="L140" s="460">
        <v>10</v>
      </c>
      <c r="M140" s="460">
        <v>11</v>
      </c>
      <c r="N140" s="460">
        <v>12</v>
      </c>
    </row>
    <row r="141" spans="1:14" ht="15" hidden="1">
      <c r="A141" s="506" t="s">
        <v>0</v>
      </c>
      <c r="B141" s="427" t="s">
        <v>130</v>
      </c>
      <c r="C141" s="791">
        <f aca="true" t="shared" si="40" ref="C141:C146">SUM(D141,E141,H141:N141)</f>
        <v>868644</v>
      </c>
      <c r="D141" s="799">
        <f>SUM(D142:D143)</f>
        <v>128962</v>
      </c>
      <c r="E141" s="799">
        <f aca="true" t="shared" si="41" ref="E141:J141">SUM(E142:E143)</f>
        <v>617643</v>
      </c>
      <c r="F141" s="799">
        <f t="shared" si="41"/>
        <v>53767</v>
      </c>
      <c r="G141" s="799">
        <f t="shared" si="41"/>
        <v>563876</v>
      </c>
      <c r="H141" s="799">
        <f t="shared" si="41"/>
        <v>0</v>
      </c>
      <c r="I141" s="799">
        <f t="shared" si="41"/>
        <v>85133</v>
      </c>
      <c r="J141" s="799">
        <f t="shared" si="41"/>
        <v>0</v>
      </c>
      <c r="K141" s="799">
        <f>SUM(K142:K143)</f>
        <v>0</v>
      </c>
      <c r="L141" s="799">
        <f>SUM(L142:L143)</f>
        <v>0</v>
      </c>
      <c r="M141" s="799">
        <f>SUM(M142:M143)</f>
        <v>0</v>
      </c>
      <c r="N141" s="799">
        <f>SUM(N142:N143)</f>
        <v>36906</v>
      </c>
    </row>
    <row r="142" spans="1:15" ht="15.75" hidden="1">
      <c r="A142" s="507">
        <v>1</v>
      </c>
      <c r="B142" s="429" t="s">
        <v>131</v>
      </c>
      <c r="C142" s="796">
        <f t="shared" si="40"/>
        <v>388593</v>
      </c>
      <c r="D142" s="1125">
        <v>26184</v>
      </c>
      <c r="E142" s="801">
        <f>SUM(F142:G142)</f>
        <v>305836</v>
      </c>
      <c r="F142" s="976">
        <v>46887</v>
      </c>
      <c r="G142" s="976">
        <v>258949</v>
      </c>
      <c r="H142" s="976"/>
      <c r="I142" s="976">
        <v>56573</v>
      </c>
      <c r="J142" s="976"/>
      <c r="K142" s="976"/>
      <c r="L142" s="976"/>
      <c r="M142" s="976"/>
      <c r="N142" s="977">
        <v>0</v>
      </c>
      <c r="O142" s="456"/>
    </row>
    <row r="143" spans="1:15" ht="15.75" hidden="1">
      <c r="A143" s="507">
        <v>2</v>
      </c>
      <c r="B143" s="429" t="s">
        <v>132</v>
      </c>
      <c r="C143" s="796">
        <f t="shared" si="40"/>
        <v>480051</v>
      </c>
      <c r="D143" s="1125">
        <v>102778</v>
      </c>
      <c r="E143" s="801">
        <f>SUM(F143:G143)</f>
        <v>311807</v>
      </c>
      <c r="F143" s="976">
        <v>6880</v>
      </c>
      <c r="G143" s="976">
        <v>304927</v>
      </c>
      <c r="H143" s="976"/>
      <c r="I143" s="976">
        <v>28560</v>
      </c>
      <c r="J143" s="976"/>
      <c r="K143" s="976">
        <v>0</v>
      </c>
      <c r="L143" s="976"/>
      <c r="M143" s="976"/>
      <c r="N143" s="977">
        <v>36906</v>
      </c>
      <c r="O143" s="456"/>
    </row>
    <row r="144" spans="1:15" ht="18.75" customHeight="1" hidden="1">
      <c r="A144" s="508" t="s">
        <v>1</v>
      </c>
      <c r="B144" s="394" t="s">
        <v>133</v>
      </c>
      <c r="C144" s="796">
        <f t="shared" si="40"/>
        <v>17550</v>
      </c>
      <c r="D144" s="888">
        <v>500</v>
      </c>
      <c r="E144" s="801">
        <f>SUM(F144:G144)</f>
        <v>17050</v>
      </c>
      <c r="F144" s="977">
        <v>250</v>
      </c>
      <c r="G144" s="977">
        <v>16800</v>
      </c>
      <c r="H144" s="977"/>
      <c r="I144" s="977"/>
      <c r="J144" s="977"/>
      <c r="K144" s="977"/>
      <c r="L144" s="977"/>
      <c r="M144" s="977"/>
      <c r="N144" s="977"/>
      <c r="O144" s="456"/>
    </row>
    <row r="145" spans="1:14" ht="15" hidden="1">
      <c r="A145" s="508" t="s">
        <v>9</v>
      </c>
      <c r="B145" s="394" t="s">
        <v>134</v>
      </c>
      <c r="C145" s="796">
        <f t="shared" si="40"/>
        <v>0</v>
      </c>
      <c r="D145" s="406"/>
      <c r="E145" s="801">
        <f>SUM(F145:G145)</f>
        <v>0</v>
      </c>
      <c r="F145" s="406"/>
      <c r="G145" s="406"/>
      <c r="H145" s="406"/>
      <c r="I145" s="406"/>
      <c r="J145" s="406"/>
      <c r="K145" s="406"/>
      <c r="L145" s="406"/>
      <c r="M145" s="406"/>
      <c r="N145" s="406"/>
    </row>
    <row r="146" spans="1:14" ht="15" hidden="1">
      <c r="A146" s="508" t="s">
        <v>135</v>
      </c>
      <c r="B146" s="394" t="s">
        <v>136</v>
      </c>
      <c r="C146" s="791">
        <f t="shared" si="40"/>
        <v>851094</v>
      </c>
      <c r="D146" s="792">
        <f>D141-SUM(D144,D145)</f>
        <v>128462</v>
      </c>
      <c r="E146" s="792">
        <f aca="true" t="shared" si="42" ref="E146:N146">E141-SUM(E144,E145)</f>
        <v>600593</v>
      </c>
      <c r="F146" s="792">
        <f t="shared" si="42"/>
        <v>53517</v>
      </c>
      <c r="G146" s="792">
        <f t="shared" si="42"/>
        <v>547076</v>
      </c>
      <c r="H146" s="792">
        <f t="shared" si="42"/>
        <v>0</v>
      </c>
      <c r="I146" s="792">
        <f t="shared" si="42"/>
        <v>85133</v>
      </c>
      <c r="J146" s="792">
        <f t="shared" si="42"/>
        <v>0</v>
      </c>
      <c r="K146" s="792">
        <f t="shared" si="42"/>
        <v>0</v>
      </c>
      <c r="L146" s="792">
        <f t="shared" si="42"/>
        <v>0</v>
      </c>
      <c r="M146" s="792">
        <f t="shared" si="42"/>
        <v>0</v>
      </c>
      <c r="N146" s="792">
        <f t="shared" si="42"/>
        <v>36906</v>
      </c>
    </row>
    <row r="147" spans="1:14" ht="15" hidden="1">
      <c r="A147" s="508" t="s">
        <v>51</v>
      </c>
      <c r="B147" s="430" t="s">
        <v>137</v>
      </c>
      <c r="C147" s="800">
        <f>SUM(C148:C155)</f>
        <v>484568</v>
      </c>
      <c r="D147" s="800">
        <f>SUM(D148:D155)</f>
        <v>94442</v>
      </c>
      <c r="E147" s="800">
        <f>SUM(E148:E155)</f>
        <v>279791</v>
      </c>
      <c r="F147" s="800">
        <f aca="true" t="shared" si="43" ref="F147:N147">SUM(F148:F155)</f>
        <v>5030</v>
      </c>
      <c r="G147" s="800">
        <f t="shared" si="43"/>
        <v>274761</v>
      </c>
      <c r="H147" s="800">
        <f t="shared" si="43"/>
        <v>0</v>
      </c>
      <c r="I147" s="800">
        <f t="shared" si="43"/>
        <v>73429</v>
      </c>
      <c r="J147" s="800">
        <f t="shared" si="43"/>
        <v>0</v>
      </c>
      <c r="K147" s="800">
        <f t="shared" si="43"/>
        <v>0</v>
      </c>
      <c r="L147" s="800">
        <f t="shared" si="43"/>
        <v>0</v>
      </c>
      <c r="M147" s="800">
        <f t="shared" si="43"/>
        <v>0</v>
      </c>
      <c r="N147" s="800">
        <f t="shared" si="43"/>
        <v>36906</v>
      </c>
    </row>
    <row r="148" spans="1:14" ht="15" hidden="1">
      <c r="A148" s="507" t="s">
        <v>53</v>
      </c>
      <c r="B148" s="429" t="s">
        <v>138</v>
      </c>
      <c r="C148" s="796">
        <f>SUM(D148,E148,H148:N148)</f>
        <v>465361</v>
      </c>
      <c r="D148" s="1126">
        <v>90623</v>
      </c>
      <c r="E148" s="801">
        <f aca="true" t="shared" si="44" ref="E148:E153">SUM(F148:G148)</f>
        <v>264403</v>
      </c>
      <c r="F148" s="978">
        <v>4830</v>
      </c>
      <c r="G148" s="978">
        <v>259573</v>
      </c>
      <c r="H148" s="978">
        <v>0</v>
      </c>
      <c r="I148" s="978">
        <v>73429</v>
      </c>
      <c r="J148" s="978">
        <v>0</v>
      </c>
      <c r="K148" s="978"/>
      <c r="L148" s="978"/>
      <c r="M148" s="978"/>
      <c r="N148" s="978">
        <v>36906</v>
      </c>
    </row>
    <row r="149" spans="1:14" ht="15" hidden="1">
      <c r="A149" s="507" t="s">
        <v>54</v>
      </c>
      <c r="B149" s="429" t="s">
        <v>139</v>
      </c>
      <c r="C149" s="796">
        <f>SUM(D149,E149,H149:N149)</f>
        <v>4640</v>
      </c>
      <c r="D149" s="1126">
        <v>410</v>
      </c>
      <c r="E149" s="801">
        <f t="shared" si="44"/>
        <v>4230</v>
      </c>
      <c r="F149" s="978"/>
      <c r="G149" s="978">
        <v>4230</v>
      </c>
      <c r="H149" s="978"/>
      <c r="I149" s="978"/>
      <c r="J149" s="978"/>
      <c r="K149" s="978"/>
      <c r="L149" s="978"/>
      <c r="M149" s="978"/>
      <c r="N149" s="978"/>
    </row>
    <row r="150" spans="1:14" ht="15" hidden="1">
      <c r="A150" s="507" t="s">
        <v>140</v>
      </c>
      <c r="B150" s="429" t="s">
        <v>201</v>
      </c>
      <c r="C150" s="796">
        <f>SUM(D150,E150,H150:N150)</f>
        <v>0</v>
      </c>
      <c r="D150" s="1126"/>
      <c r="E150" s="801">
        <f t="shared" si="44"/>
        <v>0</v>
      </c>
      <c r="F150" s="978"/>
      <c r="G150" s="978"/>
      <c r="H150" s="978"/>
      <c r="I150" s="978"/>
      <c r="J150" s="978"/>
      <c r="K150" s="978"/>
      <c r="L150" s="978"/>
      <c r="M150" s="978"/>
      <c r="N150" s="978"/>
    </row>
    <row r="151" spans="1:14" ht="16.5" customHeight="1" hidden="1">
      <c r="A151" s="507" t="s">
        <v>142</v>
      </c>
      <c r="B151" s="429" t="s">
        <v>141</v>
      </c>
      <c r="C151" s="796">
        <f>D151+E151+H151+I151+J151+K151+L151+M151+N151</f>
        <v>14567</v>
      </c>
      <c r="D151" s="1126">
        <v>3409</v>
      </c>
      <c r="E151" s="801">
        <f t="shared" si="44"/>
        <v>11158</v>
      </c>
      <c r="F151" s="978">
        <v>200</v>
      </c>
      <c r="G151" s="978">
        <v>10958</v>
      </c>
      <c r="H151" s="978"/>
      <c r="I151" s="978"/>
      <c r="J151" s="978"/>
      <c r="K151" s="978">
        <v>0</v>
      </c>
      <c r="L151" s="978"/>
      <c r="M151" s="978"/>
      <c r="N151" s="978"/>
    </row>
    <row r="152" spans="1:14" ht="15.75" customHeight="1" hidden="1">
      <c r="A152" s="507" t="s">
        <v>144</v>
      </c>
      <c r="B152" s="429" t="s">
        <v>143</v>
      </c>
      <c r="C152" s="797">
        <f>SUM(D152,E152,H152:N152)</f>
        <v>0</v>
      </c>
      <c r="D152" s="978"/>
      <c r="E152" s="805">
        <f t="shared" si="44"/>
        <v>0</v>
      </c>
      <c r="F152" s="978"/>
      <c r="G152" s="978"/>
      <c r="H152" s="978"/>
      <c r="I152" s="978"/>
      <c r="J152" s="978"/>
      <c r="K152" s="978"/>
      <c r="L152" s="978"/>
      <c r="M152" s="978"/>
      <c r="N152" s="978"/>
    </row>
    <row r="153" spans="1:14" ht="0.75" customHeight="1" hidden="1">
      <c r="A153" s="507" t="s">
        <v>146</v>
      </c>
      <c r="B153" s="429" t="s">
        <v>145</v>
      </c>
      <c r="C153" s="796">
        <f>SUM(D153,E153,H153:N153)</f>
        <v>0</v>
      </c>
      <c r="D153" s="978"/>
      <c r="E153" s="801">
        <f t="shared" si="44"/>
        <v>0</v>
      </c>
      <c r="F153" s="804"/>
      <c r="G153" s="804"/>
      <c r="H153" s="804"/>
      <c r="I153" s="804"/>
      <c r="J153" s="804"/>
      <c r="K153" s="804"/>
      <c r="L153" s="804"/>
      <c r="M153" s="804"/>
      <c r="N153" s="804"/>
    </row>
    <row r="154" spans="1:14" ht="25.5" hidden="1">
      <c r="A154" s="507" t="s">
        <v>148</v>
      </c>
      <c r="B154" s="431" t="s">
        <v>147</v>
      </c>
      <c r="C154" s="796">
        <f>SUM(D154,E154,H154:N154)</f>
        <v>0</v>
      </c>
      <c r="D154" s="978"/>
      <c r="E154" s="801">
        <f>SUM(F154:G154)</f>
        <v>0</v>
      </c>
      <c r="F154" s="804"/>
      <c r="G154" s="804"/>
      <c r="H154" s="804"/>
      <c r="I154" s="804"/>
      <c r="J154" s="804"/>
      <c r="K154" s="804"/>
      <c r="L154" s="804"/>
      <c r="M154" s="804"/>
      <c r="N154" s="804"/>
    </row>
    <row r="155" spans="1:14" ht="15.75" hidden="1">
      <c r="A155" s="507" t="s">
        <v>185</v>
      </c>
      <c r="B155" s="429" t="s">
        <v>149</v>
      </c>
      <c r="C155" s="796">
        <f>SUM(D155,E155,H155:N155)</f>
        <v>0</v>
      </c>
      <c r="D155" s="978"/>
      <c r="E155" s="801">
        <f>SUM(F155:G155)</f>
        <v>0</v>
      </c>
      <c r="F155" s="804">
        <f>0+0+0</f>
        <v>0</v>
      </c>
      <c r="G155" s="804"/>
      <c r="H155" s="804"/>
      <c r="I155" s="804"/>
      <c r="J155" s="804"/>
      <c r="K155" s="804"/>
      <c r="L155" s="804"/>
      <c r="M155" s="804"/>
      <c r="N155" s="804"/>
    </row>
    <row r="156" spans="1:14" ht="14.25" customHeight="1" hidden="1">
      <c r="A156" s="508" t="s">
        <v>52</v>
      </c>
      <c r="B156" s="394" t="s">
        <v>150</v>
      </c>
      <c r="C156" s="791">
        <f>C146-C147</f>
        <v>366526</v>
      </c>
      <c r="D156" s="791">
        <f>D146-D147</f>
        <v>34020</v>
      </c>
      <c r="E156" s="791">
        <f>E146-E147</f>
        <v>320802</v>
      </c>
      <c r="F156" s="791">
        <f>F146-F147</f>
        <v>48487</v>
      </c>
      <c r="G156" s="791">
        <f>G146-G147</f>
        <v>272315</v>
      </c>
      <c r="H156" s="791">
        <f aca="true" t="shared" si="45" ref="H156:N156">H146-H147</f>
        <v>0</v>
      </c>
      <c r="I156" s="791">
        <f t="shared" si="45"/>
        <v>11704</v>
      </c>
      <c r="J156" s="791">
        <f t="shared" si="45"/>
        <v>0</v>
      </c>
      <c r="K156" s="791">
        <f t="shared" si="45"/>
        <v>0</v>
      </c>
      <c r="L156" s="791">
        <f t="shared" si="45"/>
        <v>0</v>
      </c>
      <c r="M156" s="791">
        <f t="shared" si="45"/>
        <v>0</v>
      </c>
      <c r="N156" s="791">
        <f t="shared" si="45"/>
        <v>0</v>
      </c>
    </row>
    <row r="157" spans="1:14" ht="24" hidden="1">
      <c r="A157" s="534" t="s">
        <v>538</v>
      </c>
      <c r="B157" s="463" t="s">
        <v>202</v>
      </c>
      <c r="C157" s="532">
        <f>(C148+C149+C150)/C147</f>
        <v>0.9699381717323472</v>
      </c>
      <c r="D157" s="533">
        <f aca="true" t="shared" si="46" ref="D157:N157">(D148+D149+D150)/D147</f>
        <v>0.9639037716270303</v>
      </c>
      <c r="E157" s="532">
        <f t="shared" si="46"/>
        <v>0.9601202326021924</v>
      </c>
      <c r="F157" s="533">
        <f t="shared" si="46"/>
        <v>0.9602385685884692</v>
      </c>
      <c r="G157" s="533">
        <f t="shared" si="46"/>
        <v>0.9601180662466653</v>
      </c>
      <c r="H157" s="533" t="e">
        <f t="shared" si="46"/>
        <v>#DIV/0!</v>
      </c>
      <c r="I157" s="533">
        <f t="shared" si="46"/>
        <v>1</v>
      </c>
      <c r="J157" s="533" t="e">
        <f t="shared" si="46"/>
        <v>#DIV/0!</v>
      </c>
      <c r="K157" s="533" t="e">
        <f t="shared" si="46"/>
        <v>#DIV/0!</v>
      </c>
      <c r="L157" s="533" t="e">
        <f t="shared" si="46"/>
        <v>#DIV/0!</v>
      </c>
      <c r="M157" s="533" t="e">
        <f t="shared" si="46"/>
        <v>#DIV/0!</v>
      </c>
      <c r="N157" s="533">
        <f t="shared" si="46"/>
        <v>1</v>
      </c>
    </row>
    <row r="158" ht="15" hidden="1"/>
    <row r="159" ht="15" hidden="1">
      <c r="B159" s="920" t="s">
        <v>746</v>
      </c>
    </row>
    <row r="160" spans="1:14" ht="15" hidden="1">
      <c r="A160" s="1573" t="s">
        <v>68</v>
      </c>
      <c r="B160" s="1574"/>
      <c r="C160" s="1579" t="s">
        <v>37</v>
      </c>
      <c r="D160" s="1582" t="s">
        <v>336</v>
      </c>
      <c r="E160" s="1583"/>
      <c r="F160" s="1583"/>
      <c r="G160" s="1583"/>
      <c r="H160" s="1583"/>
      <c r="I160" s="1583"/>
      <c r="J160" s="1583"/>
      <c r="K160" s="1583"/>
      <c r="L160" s="1583"/>
      <c r="M160" s="1583"/>
      <c r="N160" s="1584"/>
    </row>
    <row r="161" spans="1:14" ht="15" hidden="1">
      <c r="A161" s="1575"/>
      <c r="B161" s="1576"/>
      <c r="C161" s="1580"/>
      <c r="D161" s="1568" t="s">
        <v>195</v>
      </c>
      <c r="E161" s="1571" t="s">
        <v>196</v>
      </c>
      <c r="F161" s="1588"/>
      <c r="G161" s="1572"/>
      <c r="H161" s="1568" t="s">
        <v>197</v>
      </c>
      <c r="I161" s="1568" t="s">
        <v>122</v>
      </c>
      <c r="J161" s="1568" t="s">
        <v>198</v>
      </c>
      <c r="K161" s="1568" t="s">
        <v>124</v>
      </c>
      <c r="L161" s="1568" t="s">
        <v>125</v>
      </c>
      <c r="M161" s="1568" t="s">
        <v>126</v>
      </c>
      <c r="N161" s="1568" t="s">
        <v>127</v>
      </c>
    </row>
    <row r="162" spans="1:14" ht="15" hidden="1">
      <c r="A162" s="1575"/>
      <c r="B162" s="1576"/>
      <c r="C162" s="1580"/>
      <c r="D162" s="1569"/>
      <c r="E162" s="1568" t="s">
        <v>36</v>
      </c>
      <c r="F162" s="1571" t="s">
        <v>7</v>
      </c>
      <c r="G162" s="1572"/>
      <c r="H162" s="1569"/>
      <c r="I162" s="1569"/>
      <c r="J162" s="1569"/>
      <c r="K162" s="1569"/>
      <c r="L162" s="1569"/>
      <c r="M162" s="1569"/>
      <c r="N162" s="1569"/>
    </row>
    <row r="163" spans="1:14" ht="15" hidden="1">
      <c r="A163" s="1577"/>
      <c r="B163" s="1578"/>
      <c r="C163" s="1581"/>
      <c r="D163" s="1570"/>
      <c r="E163" s="1570"/>
      <c r="F163" s="559" t="s">
        <v>199</v>
      </c>
      <c r="G163" s="560" t="s">
        <v>200</v>
      </c>
      <c r="H163" s="1570"/>
      <c r="I163" s="1570"/>
      <c r="J163" s="1570"/>
      <c r="K163" s="1570"/>
      <c r="L163" s="1570"/>
      <c r="M163" s="1570"/>
      <c r="N163" s="1570"/>
    </row>
    <row r="164" spans="1:14" ht="15" customHeight="1" hidden="1">
      <c r="A164" s="1623" t="s">
        <v>39</v>
      </c>
      <c r="B164" s="1624"/>
      <c r="C164" s="460">
        <v>1</v>
      </c>
      <c r="D164" s="460">
        <v>2</v>
      </c>
      <c r="E164" s="460">
        <v>3</v>
      </c>
      <c r="F164" s="460">
        <v>4</v>
      </c>
      <c r="G164" s="460">
        <v>5</v>
      </c>
      <c r="H164" s="460">
        <v>6</v>
      </c>
      <c r="I164" s="460">
        <v>7</v>
      </c>
      <c r="J164" s="460">
        <v>8</v>
      </c>
      <c r="K164" s="460">
        <v>9</v>
      </c>
      <c r="L164" s="460">
        <v>10</v>
      </c>
      <c r="M164" s="460">
        <v>11</v>
      </c>
      <c r="N164" s="460">
        <v>12</v>
      </c>
    </row>
    <row r="165" spans="1:14" ht="15" hidden="1">
      <c r="A165" s="506" t="s">
        <v>0</v>
      </c>
      <c r="B165" s="427" t="s">
        <v>130</v>
      </c>
      <c r="C165" s="791">
        <f aca="true" t="shared" si="47" ref="C165:C170">SUM(D165,E165,H165:N165)</f>
        <v>1178780</v>
      </c>
      <c r="D165" s="799">
        <f>SUM(D166:D167)</f>
        <v>103556</v>
      </c>
      <c r="E165" s="799">
        <f aca="true" t="shared" si="48" ref="E165:J165">SUM(E166:E167)</f>
        <v>875353</v>
      </c>
      <c r="F165" s="799">
        <f t="shared" si="48"/>
        <v>191571</v>
      </c>
      <c r="G165" s="799">
        <f t="shared" si="48"/>
        <v>683782</v>
      </c>
      <c r="H165" s="799">
        <f t="shared" si="48"/>
        <v>300</v>
      </c>
      <c r="I165" s="799">
        <f t="shared" si="48"/>
        <v>45014</v>
      </c>
      <c r="J165" s="799">
        <f t="shared" si="48"/>
        <v>10394</v>
      </c>
      <c r="K165" s="799">
        <f>SUM(K166:K167)</f>
        <v>0</v>
      </c>
      <c r="L165" s="799">
        <f>SUM(L166:L167)</f>
        <v>0</v>
      </c>
      <c r="M165" s="799">
        <f>SUM(M166:M167)</f>
        <v>0</v>
      </c>
      <c r="N165" s="799">
        <f>SUM(N166:N167)</f>
        <v>144163</v>
      </c>
    </row>
    <row r="166" spans="1:14" ht="15.75" hidden="1">
      <c r="A166" s="507">
        <v>1</v>
      </c>
      <c r="B166" s="429" t="s">
        <v>131</v>
      </c>
      <c r="C166" s="796">
        <f t="shared" si="47"/>
        <v>706478</v>
      </c>
      <c r="D166" s="806">
        <f>1851+6984+16504+25349</f>
        <v>50688</v>
      </c>
      <c r="E166" s="801">
        <f>SUM(F166:G166)</f>
        <v>643633</v>
      </c>
      <c r="F166" s="864">
        <v>186426</v>
      </c>
      <c r="G166" s="864">
        <v>457207</v>
      </c>
      <c r="H166" s="864"/>
      <c r="I166" s="864">
        <v>1763</v>
      </c>
      <c r="J166" s="864">
        <v>10394</v>
      </c>
      <c r="K166" s="864"/>
      <c r="L166" s="864"/>
      <c r="M166" s="864"/>
      <c r="N166" s="864">
        <v>0</v>
      </c>
    </row>
    <row r="167" spans="1:14" ht="15.75" hidden="1">
      <c r="A167" s="507">
        <v>2</v>
      </c>
      <c r="B167" s="429" t="s">
        <v>132</v>
      </c>
      <c r="C167" s="796">
        <f t="shared" si="47"/>
        <v>472302</v>
      </c>
      <c r="D167" s="803">
        <f>6884+4325+21088+20571</f>
        <v>52868</v>
      </c>
      <c r="E167" s="801">
        <f>SUM(F167:G167)</f>
        <v>231720</v>
      </c>
      <c r="F167" s="863">
        <v>5145</v>
      </c>
      <c r="G167" s="863">
        <v>226575</v>
      </c>
      <c r="H167" s="863">
        <v>300</v>
      </c>
      <c r="I167" s="863">
        <v>43251</v>
      </c>
      <c r="J167" s="863"/>
      <c r="K167" s="863"/>
      <c r="L167" s="863"/>
      <c r="M167" s="863"/>
      <c r="N167" s="863">
        <v>144163</v>
      </c>
    </row>
    <row r="168" spans="1:14" ht="15.75" hidden="1">
      <c r="A168" s="508" t="s">
        <v>1</v>
      </c>
      <c r="B168" s="394" t="s">
        <v>133</v>
      </c>
      <c r="C168" s="796">
        <f t="shared" si="47"/>
        <v>14050</v>
      </c>
      <c r="D168" s="944">
        <v>0</v>
      </c>
      <c r="E168" s="801">
        <f>SUM(F168:G168)</f>
        <v>13900</v>
      </c>
      <c r="F168" s="945"/>
      <c r="G168" s="946">
        <v>13900</v>
      </c>
      <c r="H168" s="946"/>
      <c r="I168" s="946">
        <v>150</v>
      </c>
      <c r="J168" s="946"/>
      <c r="K168" s="946"/>
      <c r="L168" s="946"/>
      <c r="M168" s="946"/>
      <c r="N168" s="946"/>
    </row>
    <row r="169" spans="1:14" ht="15" hidden="1">
      <c r="A169" s="508" t="s">
        <v>9</v>
      </c>
      <c r="B169" s="394" t="s">
        <v>134</v>
      </c>
      <c r="C169" s="796">
        <f t="shared" si="47"/>
        <v>0</v>
      </c>
      <c r="D169" s="406"/>
      <c r="E169" s="801">
        <f>SUM(F169:G169)</f>
        <v>0</v>
      </c>
      <c r="F169" s="406"/>
      <c r="G169" s="406"/>
      <c r="H169" s="406"/>
      <c r="I169" s="406"/>
      <c r="J169" s="406"/>
      <c r="K169" s="406"/>
      <c r="L169" s="406"/>
      <c r="M169" s="406"/>
      <c r="N169" s="406"/>
    </row>
    <row r="170" spans="1:14" ht="15" hidden="1">
      <c r="A170" s="508" t="s">
        <v>135</v>
      </c>
      <c r="B170" s="394" t="s">
        <v>136</v>
      </c>
      <c r="C170" s="791">
        <f t="shared" si="47"/>
        <v>1164730</v>
      </c>
      <c r="D170" s="792">
        <f>D165-SUM(D168,D169)</f>
        <v>103556</v>
      </c>
      <c r="E170" s="792">
        <f aca="true" t="shared" si="49" ref="E170:N170">E165-SUM(E168,E169)</f>
        <v>861453</v>
      </c>
      <c r="F170" s="792">
        <f t="shared" si="49"/>
        <v>191571</v>
      </c>
      <c r="G170" s="792">
        <f t="shared" si="49"/>
        <v>669882</v>
      </c>
      <c r="H170" s="792">
        <f t="shared" si="49"/>
        <v>300</v>
      </c>
      <c r="I170" s="792">
        <f t="shared" si="49"/>
        <v>44864</v>
      </c>
      <c r="J170" s="792">
        <f t="shared" si="49"/>
        <v>10394</v>
      </c>
      <c r="K170" s="792">
        <f t="shared" si="49"/>
        <v>0</v>
      </c>
      <c r="L170" s="792">
        <f t="shared" si="49"/>
        <v>0</v>
      </c>
      <c r="M170" s="792">
        <f t="shared" si="49"/>
        <v>0</v>
      </c>
      <c r="N170" s="792">
        <f t="shared" si="49"/>
        <v>144163</v>
      </c>
    </row>
    <row r="171" spans="1:14" ht="15" hidden="1">
      <c r="A171" s="508" t="s">
        <v>51</v>
      </c>
      <c r="B171" s="430" t="s">
        <v>137</v>
      </c>
      <c r="C171" s="800">
        <f>SUM(C172:C179)</f>
        <v>543773</v>
      </c>
      <c r="D171" s="800">
        <f>SUM(D172:D179)</f>
        <v>93366</v>
      </c>
      <c r="E171" s="800">
        <f>SUM(E172:E179)</f>
        <v>262344</v>
      </c>
      <c r="F171" s="800">
        <f aca="true" t="shared" si="50" ref="F171:N171">SUM(F172:F179)</f>
        <v>17751</v>
      </c>
      <c r="G171" s="800">
        <f t="shared" si="50"/>
        <v>244593</v>
      </c>
      <c r="H171" s="800">
        <f t="shared" si="50"/>
        <v>300</v>
      </c>
      <c r="I171" s="800">
        <f t="shared" si="50"/>
        <v>43600</v>
      </c>
      <c r="J171" s="800">
        <f t="shared" si="50"/>
        <v>0</v>
      </c>
      <c r="K171" s="800">
        <f t="shared" si="50"/>
        <v>0</v>
      </c>
      <c r="L171" s="800">
        <f t="shared" si="50"/>
        <v>0</v>
      </c>
      <c r="M171" s="800">
        <f t="shared" si="50"/>
        <v>0</v>
      </c>
      <c r="N171" s="800">
        <f t="shared" si="50"/>
        <v>144163</v>
      </c>
    </row>
    <row r="172" spans="1:14" ht="15.75" hidden="1">
      <c r="A172" s="507" t="s">
        <v>53</v>
      </c>
      <c r="B172" s="429" t="s">
        <v>138</v>
      </c>
      <c r="C172" s="796">
        <f>SUM(D172,E172,H172:N172)</f>
        <v>385614</v>
      </c>
      <c r="D172" s="802">
        <f>6884+3050+17776+3948</f>
        <v>31658</v>
      </c>
      <c r="E172" s="801">
        <f aca="true" t="shared" si="51" ref="E172:E177">SUM(F172:G172)</f>
        <v>169160</v>
      </c>
      <c r="F172" s="865">
        <f>0+4201+0+7900</f>
        <v>12101</v>
      </c>
      <c r="G172" s="865">
        <f>46833+41068+29919+39239</f>
        <v>157059</v>
      </c>
      <c r="H172" s="865">
        <v>300</v>
      </c>
      <c r="I172" s="865">
        <f>5850+8250+24250+4800</f>
        <v>43150</v>
      </c>
      <c r="J172" s="865"/>
      <c r="K172" s="865"/>
      <c r="L172" s="865"/>
      <c r="M172" s="865"/>
      <c r="N172" s="865">
        <f>0+55974+64393+20979</f>
        <v>141346</v>
      </c>
    </row>
    <row r="173" spans="1:14" ht="15.75" hidden="1">
      <c r="A173" s="507" t="s">
        <v>54</v>
      </c>
      <c r="B173" s="429" t="s">
        <v>139</v>
      </c>
      <c r="C173" s="796">
        <f>SUM(D173,E173,H173:N173)</f>
        <v>50395</v>
      </c>
      <c r="D173" s="803">
        <v>1</v>
      </c>
      <c r="E173" s="801">
        <f t="shared" si="51"/>
        <v>50394</v>
      </c>
      <c r="F173" s="863">
        <v>1966</v>
      </c>
      <c r="G173" s="863">
        <f>20500+20728+0+7200</f>
        <v>48428</v>
      </c>
      <c r="H173" s="863"/>
      <c r="I173" s="863"/>
      <c r="J173" s="863"/>
      <c r="K173" s="863"/>
      <c r="L173" s="863"/>
      <c r="M173" s="863"/>
      <c r="N173" s="863"/>
    </row>
    <row r="174" spans="1:14" ht="15.75" hidden="1">
      <c r="A174" s="507" t="s">
        <v>140</v>
      </c>
      <c r="B174" s="429" t="s">
        <v>201</v>
      </c>
      <c r="C174" s="796">
        <f>SUM(D174,E174,H174:N174)</f>
        <v>9226</v>
      </c>
      <c r="D174" s="803"/>
      <c r="E174" s="801">
        <f t="shared" si="51"/>
        <v>9226</v>
      </c>
      <c r="F174" s="863">
        <v>3684</v>
      </c>
      <c r="G174" s="863">
        <f>0+5542+0+0</f>
        <v>5542</v>
      </c>
      <c r="H174" s="863"/>
      <c r="I174" s="863"/>
      <c r="J174" s="863"/>
      <c r="K174" s="863"/>
      <c r="L174" s="863"/>
      <c r="M174" s="863"/>
      <c r="N174" s="863"/>
    </row>
    <row r="175" spans="1:14" ht="15.75" hidden="1">
      <c r="A175" s="507" t="s">
        <v>142</v>
      </c>
      <c r="B175" s="429" t="s">
        <v>141</v>
      </c>
      <c r="C175" s="796">
        <f>D175+E175+H175+I175+J175+K175+L175+M175+N175</f>
        <v>98538</v>
      </c>
      <c r="D175" s="803">
        <f>0+8259+13176+40272</f>
        <v>61707</v>
      </c>
      <c r="E175" s="801">
        <f t="shared" si="51"/>
        <v>33564</v>
      </c>
      <c r="F175" s="863"/>
      <c r="G175" s="863">
        <f>28124+0+5440+0</f>
        <v>33564</v>
      </c>
      <c r="H175" s="863"/>
      <c r="I175" s="863">
        <f>150+300+0+0</f>
        <v>450</v>
      </c>
      <c r="J175" s="864"/>
      <c r="K175" s="863"/>
      <c r="L175" s="863"/>
      <c r="M175" s="863"/>
      <c r="N175" s="863">
        <f>0+0+2367+450</f>
        <v>2817</v>
      </c>
    </row>
    <row r="176" spans="1:14" ht="17.25" customHeight="1" hidden="1">
      <c r="A176" s="507" t="s">
        <v>144</v>
      </c>
      <c r="B176" s="429" t="s">
        <v>143</v>
      </c>
      <c r="C176" s="796">
        <f>D176+E176+H176+I176+J176+K176+L176+M176+N176</f>
        <v>0</v>
      </c>
      <c r="D176" s="803"/>
      <c r="E176" s="805">
        <f t="shared" si="51"/>
        <v>0</v>
      </c>
      <c r="F176" s="863"/>
      <c r="G176" s="863"/>
      <c r="H176" s="863"/>
      <c r="I176" s="863"/>
      <c r="J176" s="863"/>
      <c r="K176" s="863"/>
      <c r="L176" s="863"/>
      <c r="M176" s="863"/>
      <c r="N176" s="863">
        <v>0</v>
      </c>
    </row>
    <row r="177" spans="1:14" ht="15.75" hidden="1">
      <c r="A177" s="507" t="s">
        <v>146</v>
      </c>
      <c r="B177" s="429" t="s">
        <v>145</v>
      </c>
      <c r="C177" s="796">
        <f>D177+E177+H177+I177+J177+K177+L177+M177+N177</f>
        <v>0</v>
      </c>
      <c r="D177" s="803"/>
      <c r="E177" s="801">
        <f t="shared" si="51"/>
        <v>0</v>
      </c>
      <c r="F177" s="804"/>
      <c r="G177" s="804"/>
      <c r="H177" s="804"/>
      <c r="I177" s="804"/>
      <c r="J177" s="804"/>
      <c r="K177" s="804"/>
      <c r="L177" s="804"/>
      <c r="M177" s="804"/>
      <c r="N177" s="804"/>
    </row>
    <row r="178" spans="1:14" ht="25.5" hidden="1">
      <c r="A178" s="507" t="s">
        <v>148</v>
      </c>
      <c r="B178" s="431" t="s">
        <v>147</v>
      </c>
      <c r="C178" s="796">
        <f>D178+E178+H178+I178+J178+K178+L178+M178+N178</f>
        <v>0</v>
      </c>
      <c r="D178" s="803"/>
      <c r="E178" s="801">
        <f>SUM(F178:G178)</f>
        <v>0</v>
      </c>
      <c r="F178" s="804"/>
      <c r="G178" s="804"/>
      <c r="H178" s="804"/>
      <c r="I178" s="804"/>
      <c r="J178" s="804"/>
      <c r="K178" s="804"/>
      <c r="L178" s="804"/>
      <c r="M178" s="804"/>
      <c r="N178" s="804"/>
    </row>
    <row r="179" spans="1:14" ht="15.75" hidden="1">
      <c r="A179" s="507" t="s">
        <v>185</v>
      </c>
      <c r="B179" s="429" t="s">
        <v>149</v>
      </c>
      <c r="C179" s="796">
        <f>D179+E179+H179+I179+J179+K179+L179+M179+N179</f>
        <v>0</v>
      </c>
      <c r="D179" s="803">
        <v>0</v>
      </c>
      <c r="E179" s="801">
        <f>SUM(F179:G179)</f>
        <v>0</v>
      </c>
      <c r="F179" s="804">
        <f>0+0+0</f>
        <v>0</v>
      </c>
      <c r="G179" s="804"/>
      <c r="H179" s="804"/>
      <c r="I179" s="804"/>
      <c r="J179" s="804"/>
      <c r="K179" s="804"/>
      <c r="L179" s="804"/>
      <c r="M179" s="804"/>
      <c r="N179" s="804"/>
    </row>
    <row r="180" spans="1:14" ht="22.5" customHeight="1" hidden="1">
      <c r="A180" s="508" t="s">
        <v>52</v>
      </c>
      <c r="B180" s="394" t="s">
        <v>150</v>
      </c>
      <c r="C180" s="791">
        <f>C170-C171</f>
        <v>620957</v>
      </c>
      <c r="D180" s="791">
        <f>D170-D171</f>
        <v>10190</v>
      </c>
      <c r="E180" s="791">
        <f>E170-E171</f>
        <v>599109</v>
      </c>
      <c r="F180" s="791">
        <f>F170-F171</f>
        <v>173820</v>
      </c>
      <c r="G180" s="791">
        <f>G170-G171</f>
        <v>425289</v>
      </c>
      <c r="H180" s="791">
        <f aca="true" t="shared" si="52" ref="H180:N180">H170-H171</f>
        <v>0</v>
      </c>
      <c r="I180" s="791">
        <f t="shared" si="52"/>
        <v>1264</v>
      </c>
      <c r="J180" s="791">
        <f t="shared" si="52"/>
        <v>10394</v>
      </c>
      <c r="K180" s="791">
        <f t="shared" si="52"/>
        <v>0</v>
      </c>
      <c r="L180" s="791">
        <f t="shared" si="52"/>
        <v>0</v>
      </c>
      <c r="M180" s="791">
        <f t="shared" si="52"/>
        <v>0</v>
      </c>
      <c r="N180" s="791">
        <f t="shared" si="52"/>
        <v>0</v>
      </c>
    </row>
    <row r="181" spans="1:14" ht="25.5" customHeight="1" hidden="1">
      <c r="A181" s="534" t="s">
        <v>538</v>
      </c>
      <c r="B181" s="463" t="s">
        <v>202</v>
      </c>
      <c r="C181" s="532">
        <f>(C172+C173+C174)/C171</f>
        <v>0.8187883546994794</v>
      </c>
      <c r="D181" s="533">
        <f aca="true" t="shared" si="53" ref="D181:N181">(D172+D173+D174)/D171</f>
        <v>0.33908489171647066</v>
      </c>
      <c r="E181" s="532">
        <f t="shared" si="53"/>
        <v>0.8720611106028726</v>
      </c>
      <c r="F181" s="533">
        <f t="shared" si="53"/>
        <v>1</v>
      </c>
      <c r="G181" s="533">
        <f t="shared" si="53"/>
        <v>0.862776121965878</v>
      </c>
      <c r="H181" s="533">
        <f t="shared" si="53"/>
        <v>1</v>
      </c>
      <c r="I181" s="533">
        <f t="shared" si="53"/>
        <v>0.9896788990825688</v>
      </c>
      <c r="J181" s="533" t="e">
        <f t="shared" si="53"/>
        <v>#DIV/0!</v>
      </c>
      <c r="K181" s="533" t="e">
        <f t="shared" si="53"/>
        <v>#DIV/0!</v>
      </c>
      <c r="L181" s="533" t="e">
        <f t="shared" si="53"/>
        <v>#DIV/0!</v>
      </c>
      <c r="M181" s="533" t="e">
        <f t="shared" si="53"/>
        <v>#DIV/0!</v>
      </c>
      <c r="N181" s="533">
        <f t="shared" si="53"/>
        <v>0.9804596186261385</v>
      </c>
    </row>
    <row r="182" ht="15" hidden="1"/>
    <row r="183" ht="15" hidden="1">
      <c r="B183" s="388" t="s">
        <v>747</v>
      </c>
    </row>
    <row r="184" spans="1:14" ht="1.5" customHeight="1" hidden="1">
      <c r="A184" s="1573" t="s">
        <v>68</v>
      </c>
      <c r="B184" s="1574"/>
      <c r="C184" s="1579" t="s">
        <v>37</v>
      </c>
      <c r="D184" s="1582" t="s">
        <v>336</v>
      </c>
      <c r="E184" s="1583"/>
      <c r="F184" s="1583"/>
      <c r="G184" s="1583"/>
      <c r="H184" s="1583"/>
      <c r="I184" s="1583"/>
      <c r="J184" s="1583"/>
      <c r="K184" s="1583"/>
      <c r="L184" s="1583"/>
      <c r="M184" s="1583"/>
      <c r="N184" s="1584"/>
    </row>
    <row r="185" spans="1:14" ht="15" customHeight="1" hidden="1">
      <c r="A185" s="1575"/>
      <c r="B185" s="1576"/>
      <c r="C185" s="1580"/>
      <c r="D185" s="1568" t="s">
        <v>195</v>
      </c>
      <c r="E185" s="1571" t="s">
        <v>196</v>
      </c>
      <c r="F185" s="1588"/>
      <c r="G185" s="1572"/>
      <c r="H185" s="1568" t="s">
        <v>197</v>
      </c>
      <c r="I185" s="1568" t="s">
        <v>122</v>
      </c>
      <c r="J185" s="1568" t="s">
        <v>198</v>
      </c>
      <c r="K185" s="1568" t="s">
        <v>124</v>
      </c>
      <c r="L185" s="1568" t="s">
        <v>125</v>
      </c>
      <c r="M185" s="1568" t="s">
        <v>126</v>
      </c>
      <c r="N185" s="1568" t="s">
        <v>127</v>
      </c>
    </row>
    <row r="186" spans="1:14" ht="15" hidden="1">
      <c r="A186" s="1575"/>
      <c r="B186" s="1576"/>
      <c r="C186" s="1580"/>
      <c r="D186" s="1569"/>
      <c r="E186" s="1568" t="s">
        <v>36</v>
      </c>
      <c r="F186" s="1571" t="s">
        <v>7</v>
      </c>
      <c r="G186" s="1572"/>
      <c r="H186" s="1569"/>
      <c r="I186" s="1569"/>
      <c r="J186" s="1569"/>
      <c r="K186" s="1569"/>
      <c r="L186" s="1569"/>
      <c r="M186" s="1569"/>
      <c r="N186" s="1569"/>
    </row>
    <row r="187" spans="1:14" ht="15" hidden="1">
      <c r="A187" s="1577"/>
      <c r="B187" s="1578"/>
      <c r="C187" s="1581"/>
      <c r="D187" s="1570"/>
      <c r="E187" s="1570"/>
      <c r="F187" s="559" t="s">
        <v>199</v>
      </c>
      <c r="G187" s="560" t="s">
        <v>200</v>
      </c>
      <c r="H187" s="1570"/>
      <c r="I187" s="1570"/>
      <c r="J187" s="1570"/>
      <c r="K187" s="1570"/>
      <c r="L187" s="1570"/>
      <c r="M187" s="1570"/>
      <c r="N187" s="1570"/>
    </row>
    <row r="188" spans="1:14" ht="15.75" hidden="1">
      <c r="A188" s="1623" t="s">
        <v>39</v>
      </c>
      <c r="B188" s="1624"/>
      <c r="C188" s="460">
        <v>1</v>
      </c>
      <c r="D188" s="460">
        <v>2</v>
      </c>
      <c r="E188" s="460">
        <v>3</v>
      </c>
      <c r="F188" s="460">
        <v>4</v>
      </c>
      <c r="G188" s="460">
        <v>5</v>
      </c>
      <c r="H188" s="460">
        <v>6</v>
      </c>
      <c r="I188" s="460">
        <v>7</v>
      </c>
      <c r="J188" s="460">
        <v>8</v>
      </c>
      <c r="K188" s="460">
        <v>9</v>
      </c>
      <c r="L188" s="460">
        <v>10</v>
      </c>
      <c r="M188" s="460">
        <v>11</v>
      </c>
      <c r="N188" s="460">
        <v>12</v>
      </c>
    </row>
    <row r="189" spans="1:14" ht="15" hidden="1">
      <c r="A189" s="506" t="s">
        <v>0</v>
      </c>
      <c r="B189" s="427" t="s">
        <v>130</v>
      </c>
      <c r="C189" s="791">
        <f aca="true" t="shared" si="54" ref="C189:C194">SUM(D189,E189,H189:N189)</f>
        <v>180431</v>
      </c>
      <c r="D189" s="799">
        <f>SUM(D190:D191)</f>
        <v>34089</v>
      </c>
      <c r="E189" s="799">
        <f aca="true" t="shared" si="55" ref="E189:J189">SUM(E190:E191)</f>
        <v>132402</v>
      </c>
      <c r="F189" s="799">
        <f t="shared" si="55"/>
        <v>34155</v>
      </c>
      <c r="G189" s="799">
        <f t="shared" si="55"/>
        <v>98247</v>
      </c>
      <c r="H189" s="799">
        <f t="shared" si="55"/>
        <v>0</v>
      </c>
      <c r="I189" s="799">
        <f t="shared" si="55"/>
        <v>13740</v>
      </c>
      <c r="J189" s="799">
        <f t="shared" si="55"/>
        <v>0</v>
      </c>
      <c r="K189" s="799">
        <f>SUM(K190:K191)</f>
        <v>0</v>
      </c>
      <c r="L189" s="799">
        <f>SUM(L190:L191)</f>
        <v>0</v>
      </c>
      <c r="M189" s="799">
        <f>SUM(M190:M191)</f>
        <v>0</v>
      </c>
      <c r="N189" s="799">
        <f>SUM(N190:N191)</f>
        <v>200</v>
      </c>
    </row>
    <row r="190" spans="1:14" ht="17.25" customHeight="1" hidden="1">
      <c r="A190" s="507">
        <v>1</v>
      </c>
      <c r="B190" s="429" t="s">
        <v>131</v>
      </c>
      <c r="C190" s="796">
        <f t="shared" si="54"/>
        <v>93734</v>
      </c>
      <c r="D190" s="868">
        <v>13353</v>
      </c>
      <c r="E190" s="801">
        <f>SUM(F190:G190)</f>
        <v>80181</v>
      </c>
      <c r="F190" s="1127">
        <v>24581</v>
      </c>
      <c r="G190" s="1127">
        <v>55600</v>
      </c>
      <c r="H190" s="1127"/>
      <c r="I190" s="1127">
        <v>0</v>
      </c>
      <c r="J190" s="1127"/>
      <c r="K190" s="1127"/>
      <c r="L190" s="1127"/>
      <c r="M190" s="1127"/>
      <c r="N190" s="1127">
        <v>200</v>
      </c>
    </row>
    <row r="191" spans="1:14" ht="15.75" hidden="1">
      <c r="A191" s="507">
        <v>2</v>
      </c>
      <c r="B191" s="429" t="s">
        <v>132</v>
      </c>
      <c r="C191" s="796">
        <f t="shared" si="54"/>
        <v>86697</v>
      </c>
      <c r="D191" s="803">
        <v>20736</v>
      </c>
      <c r="E191" s="801">
        <f>SUM(F191:G191)</f>
        <v>52221</v>
      </c>
      <c r="F191" s="809">
        <v>9574</v>
      </c>
      <c r="G191" s="809">
        <v>42647</v>
      </c>
      <c r="H191" s="809"/>
      <c r="I191" s="809">
        <v>13740</v>
      </c>
      <c r="J191" s="809"/>
      <c r="K191" s="809"/>
      <c r="L191" s="809"/>
      <c r="M191" s="809"/>
      <c r="N191" s="809">
        <v>0</v>
      </c>
    </row>
    <row r="192" spans="1:14" ht="15.75" hidden="1">
      <c r="A192" s="508" t="s">
        <v>1</v>
      </c>
      <c r="B192" s="394" t="s">
        <v>133</v>
      </c>
      <c r="C192" s="796">
        <f t="shared" si="54"/>
        <v>400</v>
      </c>
      <c r="D192" s="803"/>
      <c r="E192" s="801">
        <f>SUM(F192:G192)</f>
        <v>400</v>
      </c>
      <c r="F192" s="809"/>
      <c r="G192" s="809">
        <v>400</v>
      </c>
      <c r="H192" s="809"/>
      <c r="I192" s="809"/>
      <c r="J192" s="809"/>
      <c r="K192" s="809"/>
      <c r="L192" s="809"/>
      <c r="M192" s="809"/>
      <c r="N192" s="809"/>
    </row>
    <row r="193" spans="1:14" ht="15" hidden="1">
      <c r="A193" s="508" t="s">
        <v>9</v>
      </c>
      <c r="B193" s="394" t="s">
        <v>134</v>
      </c>
      <c r="C193" s="796">
        <f t="shared" si="54"/>
        <v>0</v>
      </c>
      <c r="D193" s="406"/>
      <c r="E193" s="801">
        <f>SUM(F193:G193)</f>
        <v>0</v>
      </c>
      <c r="F193" s="406"/>
      <c r="G193" s="406"/>
      <c r="H193" s="406"/>
      <c r="I193" s="406"/>
      <c r="J193" s="406"/>
      <c r="K193" s="406"/>
      <c r="L193" s="406"/>
      <c r="M193" s="406"/>
      <c r="N193" s="406"/>
    </row>
    <row r="194" spans="1:14" ht="15" hidden="1">
      <c r="A194" s="508" t="s">
        <v>135</v>
      </c>
      <c r="B194" s="394" t="s">
        <v>136</v>
      </c>
      <c r="C194" s="791">
        <f t="shared" si="54"/>
        <v>180031</v>
      </c>
      <c r="D194" s="792">
        <f>D189-SUM(D192,D193)</f>
        <v>34089</v>
      </c>
      <c r="E194" s="792">
        <f aca="true" t="shared" si="56" ref="E194:N194">E189-SUM(E192,E193)</f>
        <v>132002</v>
      </c>
      <c r="F194" s="792">
        <f t="shared" si="56"/>
        <v>34155</v>
      </c>
      <c r="G194" s="792">
        <f t="shared" si="56"/>
        <v>97847</v>
      </c>
      <c r="H194" s="792">
        <f t="shared" si="56"/>
        <v>0</v>
      </c>
      <c r="I194" s="792">
        <f t="shared" si="56"/>
        <v>13740</v>
      </c>
      <c r="J194" s="792">
        <f t="shared" si="56"/>
        <v>0</v>
      </c>
      <c r="K194" s="792">
        <f t="shared" si="56"/>
        <v>0</v>
      </c>
      <c r="L194" s="792">
        <f t="shared" si="56"/>
        <v>0</v>
      </c>
      <c r="M194" s="792">
        <f t="shared" si="56"/>
        <v>0</v>
      </c>
      <c r="N194" s="792">
        <f t="shared" si="56"/>
        <v>200</v>
      </c>
    </row>
    <row r="195" spans="1:14" ht="15" hidden="1">
      <c r="A195" s="508" t="s">
        <v>51</v>
      </c>
      <c r="B195" s="430" t="s">
        <v>137</v>
      </c>
      <c r="C195" s="800">
        <f>SUM(C196:C203)</f>
        <v>109467</v>
      </c>
      <c r="D195" s="800">
        <f>SUM(D196:D203)</f>
        <v>20736</v>
      </c>
      <c r="E195" s="800">
        <f>SUM(E196:E203)</f>
        <v>75041</v>
      </c>
      <c r="F195" s="800">
        <f aca="true" t="shared" si="57" ref="F195:N195">SUM(F196:F203)</f>
        <v>10274</v>
      </c>
      <c r="G195" s="800">
        <f t="shared" si="57"/>
        <v>64767</v>
      </c>
      <c r="H195" s="800">
        <f t="shared" si="57"/>
        <v>0</v>
      </c>
      <c r="I195" s="800">
        <f t="shared" si="57"/>
        <v>13690</v>
      </c>
      <c r="J195" s="800">
        <f t="shared" si="57"/>
        <v>0</v>
      </c>
      <c r="K195" s="800">
        <f t="shared" si="57"/>
        <v>0</v>
      </c>
      <c r="L195" s="800">
        <f t="shared" si="57"/>
        <v>0</v>
      </c>
      <c r="M195" s="800">
        <f t="shared" si="57"/>
        <v>0</v>
      </c>
      <c r="N195" s="800">
        <f t="shared" si="57"/>
        <v>0</v>
      </c>
    </row>
    <row r="196" spans="1:14" ht="15.75" hidden="1">
      <c r="A196" s="507" t="s">
        <v>53</v>
      </c>
      <c r="B196" s="429" t="s">
        <v>138</v>
      </c>
      <c r="C196" s="796">
        <f>SUM(D196,E196,H196:N196)</f>
        <v>87182</v>
      </c>
      <c r="D196" s="802">
        <v>9806</v>
      </c>
      <c r="E196" s="801">
        <f aca="true" t="shared" si="58" ref="E196:E201">SUM(F196:G196)</f>
        <v>68486</v>
      </c>
      <c r="F196" s="811">
        <v>4924</v>
      </c>
      <c r="G196" s="811">
        <v>63562</v>
      </c>
      <c r="H196" s="811"/>
      <c r="I196" s="811">
        <v>8890</v>
      </c>
      <c r="J196" s="811"/>
      <c r="K196" s="811"/>
      <c r="L196" s="811"/>
      <c r="M196" s="811"/>
      <c r="N196" s="811">
        <v>0</v>
      </c>
    </row>
    <row r="197" spans="1:14" ht="15.75" hidden="1">
      <c r="A197" s="507" t="s">
        <v>54</v>
      </c>
      <c r="B197" s="429" t="s">
        <v>139</v>
      </c>
      <c r="C197" s="796">
        <f>SUM(D197,E197,H197:N197)</f>
        <v>0</v>
      </c>
      <c r="D197" s="803">
        <v>0</v>
      </c>
      <c r="E197" s="801">
        <f t="shared" si="58"/>
        <v>0</v>
      </c>
      <c r="F197" s="809">
        <v>0</v>
      </c>
      <c r="G197" s="809">
        <v>0</v>
      </c>
      <c r="H197" s="809"/>
      <c r="I197" s="809">
        <v>0</v>
      </c>
      <c r="J197" s="809"/>
      <c r="K197" s="809"/>
      <c r="L197" s="809"/>
      <c r="M197" s="809"/>
      <c r="N197" s="809"/>
    </row>
    <row r="198" spans="1:14" ht="15.75" hidden="1">
      <c r="A198" s="507" t="s">
        <v>140</v>
      </c>
      <c r="B198" s="429" t="s">
        <v>201</v>
      </c>
      <c r="C198" s="796">
        <f>SUM(D198,E198,H198:N198)</f>
        <v>0</v>
      </c>
      <c r="D198" s="803"/>
      <c r="E198" s="801">
        <f t="shared" si="58"/>
        <v>0</v>
      </c>
      <c r="F198" s="809">
        <v>0</v>
      </c>
      <c r="G198" s="809">
        <v>0</v>
      </c>
      <c r="H198" s="809"/>
      <c r="I198" s="809"/>
      <c r="J198" s="809"/>
      <c r="K198" s="809"/>
      <c r="L198" s="809"/>
      <c r="M198" s="809"/>
      <c r="N198" s="809"/>
    </row>
    <row r="199" spans="1:14" ht="15.75" hidden="1">
      <c r="A199" s="507" t="s">
        <v>142</v>
      </c>
      <c r="B199" s="429" t="s">
        <v>141</v>
      </c>
      <c r="C199" s="796">
        <f>D199+E199+H199+I199+J199+K199+L199+M199+N199</f>
        <v>22285</v>
      </c>
      <c r="D199" s="803">
        <v>10930</v>
      </c>
      <c r="E199" s="801">
        <f t="shared" si="58"/>
        <v>6555</v>
      </c>
      <c r="F199" s="809">
        <v>5350</v>
      </c>
      <c r="G199" s="809">
        <v>1205</v>
      </c>
      <c r="H199" s="809"/>
      <c r="I199" s="809">
        <v>4800</v>
      </c>
      <c r="J199" s="809"/>
      <c r="K199" s="809"/>
      <c r="L199" s="809"/>
      <c r="M199" s="809"/>
      <c r="N199" s="809"/>
    </row>
    <row r="200" spans="1:14" ht="19.5" customHeight="1" hidden="1">
      <c r="A200" s="507" t="s">
        <v>144</v>
      </c>
      <c r="B200" s="429" t="s">
        <v>143</v>
      </c>
      <c r="C200" s="797">
        <f>SUM(D200,E200,H200:N200)</f>
        <v>0</v>
      </c>
      <c r="D200" s="803"/>
      <c r="E200" s="805">
        <f t="shared" si="58"/>
        <v>0</v>
      </c>
      <c r="F200" s="809"/>
      <c r="G200" s="809"/>
      <c r="H200" s="809"/>
      <c r="I200" s="809"/>
      <c r="J200" s="809"/>
      <c r="K200" s="809"/>
      <c r="L200" s="809"/>
      <c r="M200" s="809"/>
      <c r="N200" s="809"/>
    </row>
    <row r="201" spans="1:14" ht="15.75" hidden="1">
      <c r="A201" s="507" t="s">
        <v>146</v>
      </c>
      <c r="B201" s="429" t="s">
        <v>145</v>
      </c>
      <c r="C201" s="796">
        <f>SUM(D201,E201,H201:N201)</f>
        <v>0</v>
      </c>
      <c r="D201" s="803"/>
      <c r="E201" s="801">
        <f t="shared" si="58"/>
        <v>0</v>
      </c>
      <c r="F201" s="863"/>
      <c r="G201" s="863"/>
      <c r="H201" s="863"/>
      <c r="I201" s="863"/>
      <c r="J201" s="863"/>
      <c r="K201" s="863"/>
      <c r="L201" s="863"/>
      <c r="M201" s="863"/>
      <c r="N201" s="863"/>
    </row>
    <row r="202" spans="1:14" ht="25.5" hidden="1">
      <c r="A202" s="507" t="s">
        <v>148</v>
      </c>
      <c r="B202" s="431" t="s">
        <v>147</v>
      </c>
      <c r="C202" s="796">
        <f>SUM(D202,E202,H202:N202)</f>
        <v>0</v>
      </c>
      <c r="D202" s="803"/>
      <c r="E202" s="801">
        <f>SUM(F202:G202)</f>
        <v>0</v>
      </c>
      <c r="F202" s="804"/>
      <c r="G202" s="804"/>
      <c r="H202" s="804"/>
      <c r="I202" s="804"/>
      <c r="J202" s="804"/>
      <c r="K202" s="804"/>
      <c r="L202" s="804"/>
      <c r="M202" s="804"/>
      <c r="N202" s="804"/>
    </row>
    <row r="203" spans="1:14" ht="15.75" hidden="1">
      <c r="A203" s="507" t="s">
        <v>185</v>
      </c>
      <c r="B203" s="429" t="s">
        <v>149</v>
      </c>
      <c r="C203" s="796">
        <f>SUM(D203,E203,H203:N203)</f>
        <v>0</v>
      </c>
      <c r="D203" s="803">
        <v>0</v>
      </c>
      <c r="E203" s="801">
        <f>SUM(F203:G203)</f>
        <v>0</v>
      </c>
      <c r="F203" s="804">
        <f>0+0+0</f>
        <v>0</v>
      </c>
      <c r="G203" s="804"/>
      <c r="H203" s="804"/>
      <c r="I203" s="804"/>
      <c r="J203" s="804"/>
      <c r="K203" s="804"/>
      <c r="L203" s="804"/>
      <c r="M203" s="804"/>
      <c r="N203" s="804"/>
    </row>
    <row r="204" spans="1:14" ht="15" hidden="1">
      <c r="A204" s="508" t="s">
        <v>52</v>
      </c>
      <c r="B204" s="394" t="s">
        <v>150</v>
      </c>
      <c r="C204" s="791">
        <f>C194-C195</f>
        <v>70564</v>
      </c>
      <c r="D204" s="791">
        <f>D194-D195</f>
        <v>13353</v>
      </c>
      <c r="E204" s="791">
        <f>E194-E195</f>
        <v>56961</v>
      </c>
      <c r="F204" s="791">
        <f>F194-F195</f>
        <v>23881</v>
      </c>
      <c r="G204" s="791">
        <f>G194-G195</f>
        <v>33080</v>
      </c>
      <c r="H204" s="791">
        <f aca="true" t="shared" si="59" ref="H204:N204">H194-H195</f>
        <v>0</v>
      </c>
      <c r="I204" s="791">
        <f t="shared" si="59"/>
        <v>50</v>
      </c>
      <c r="J204" s="791">
        <f t="shared" si="59"/>
        <v>0</v>
      </c>
      <c r="K204" s="791">
        <f t="shared" si="59"/>
        <v>0</v>
      </c>
      <c r="L204" s="791">
        <f t="shared" si="59"/>
        <v>0</v>
      </c>
      <c r="M204" s="791">
        <f t="shared" si="59"/>
        <v>0</v>
      </c>
      <c r="N204" s="791">
        <f t="shared" si="59"/>
        <v>200</v>
      </c>
    </row>
    <row r="205" spans="1:14" ht="24" hidden="1">
      <c r="A205" s="534" t="s">
        <v>538</v>
      </c>
      <c r="B205" s="463" t="s">
        <v>202</v>
      </c>
      <c r="C205" s="532">
        <f>(C196+C197+C198)/C195</f>
        <v>0.7964226661916377</v>
      </c>
      <c r="D205" s="533">
        <f aca="true" t="shared" si="60" ref="D205:N205">(D196+D197+D198)/D195</f>
        <v>0.4728973765432099</v>
      </c>
      <c r="E205" s="532">
        <f t="shared" si="60"/>
        <v>0.9126477525619328</v>
      </c>
      <c r="F205" s="533">
        <f t="shared" si="60"/>
        <v>0.4792680552851859</v>
      </c>
      <c r="G205" s="533">
        <f t="shared" si="60"/>
        <v>0.9813948461407815</v>
      </c>
      <c r="H205" s="533" t="e">
        <f t="shared" si="60"/>
        <v>#DIV/0!</v>
      </c>
      <c r="I205" s="533">
        <f t="shared" si="60"/>
        <v>0.6493791088385683</v>
      </c>
      <c r="J205" s="533" t="e">
        <f t="shared" si="60"/>
        <v>#DIV/0!</v>
      </c>
      <c r="K205" s="533" t="e">
        <f t="shared" si="60"/>
        <v>#DIV/0!</v>
      </c>
      <c r="L205" s="533" t="e">
        <f t="shared" si="60"/>
        <v>#DIV/0!</v>
      </c>
      <c r="M205" s="533" t="e">
        <f t="shared" si="60"/>
        <v>#DIV/0!</v>
      </c>
      <c r="N205" s="533" t="e">
        <f t="shared" si="60"/>
        <v>#DIV/0!</v>
      </c>
    </row>
    <row r="206" ht="15" hidden="1"/>
    <row r="207" ht="13.5" customHeight="1" hidden="1">
      <c r="B207" s="388" t="s">
        <v>736</v>
      </c>
    </row>
    <row r="208" spans="1:14" ht="0.75" customHeight="1" hidden="1">
      <c r="A208" s="1573" t="s">
        <v>68</v>
      </c>
      <c r="B208" s="1574"/>
      <c r="C208" s="1579" t="s">
        <v>37</v>
      </c>
      <c r="D208" s="1582" t="s">
        <v>336</v>
      </c>
      <c r="E208" s="1583"/>
      <c r="F208" s="1583"/>
      <c r="G208" s="1583"/>
      <c r="H208" s="1583"/>
      <c r="I208" s="1583"/>
      <c r="J208" s="1583"/>
      <c r="K208" s="1583"/>
      <c r="L208" s="1583"/>
      <c r="M208" s="1583"/>
      <c r="N208" s="1584"/>
    </row>
    <row r="209" spans="1:14" ht="17.25" customHeight="1" hidden="1">
      <c r="A209" s="1575"/>
      <c r="B209" s="1576"/>
      <c r="C209" s="1580"/>
      <c r="D209" s="1568" t="s">
        <v>195</v>
      </c>
      <c r="E209" s="1571" t="s">
        <v>196</v>
      </c>
      <c r="F209" s="1588"/>
      <c r="G209" s="1572"/>
      <c r="H209" s="1568" t="s">
        <v>197</v>
      </c>
      <c r="I209" s="1568" t="s">
        <v>122</v>
      </c>
      <c r="J209" s="1568" t="s">
        <v>198</v>
      </c>
      <c r="K209" s="1568" t="s">
        <v>124</v>
      </c>
      <c r="L209" s="1568" t="s">
        <v>125</v>
      </c>
      <c r="M209" s="1568" t="s">
        <v>126</v>
      </c>
      <c r="N209" s="1568" t="s">
        <v>127</v>
      </c>
    </row>
    <row r="210" spans="1:14" ht="15" hidden="1">
      <c r="A210" s="1575"/>
      <c r="B210" s="1576"/>
      <c r="C210" s="1580"/>
      <c r="D210" s="1569"/>
      <c r="E210" s="1568" t="s">
        <v>36</v>
      </c>
      <c r="F210" s="1571" t="s">
        <v>7</v>
      </c>
      <c r="G210" s="1572"/>
      <c r="H210" s="1569"/>
      <c r="I210" s="1569"/>
      <c r="J210" s="1569"/>
      <c r="K210" s="1569"/>
      <c r="L210" s="1569"/>
      <c r="M210" s="1569"/>
      <c r="N210" s="1569"/>
    </row>
    <row r="211" spans="1:14" ht="15" hidden="1">
      <c r="A211" s="1577"/>
      <c r="B211" s="1578"/>
      <c r="C211" s="1581"/>
      <c r="D211" s="1570"/>
      <c r="E211" s="1570"/>
      <c r="F211" s="559" t="s">
        <v>199</v>
      </c>
      <c r="G211" s="560" t="s">
        <v>200</v>
      </c>
      <c r="H211" s="1570"/>
      <c r="I211" s="1570"/>
      <c r="J211" s="1570"/>
      <c r="K211" s="1570"/>
      <c r="L211" s="1570"/>
      <c r="M211" s="1570"/>
      <c r="N211" s="1570"/>
    </row>
    <row r="212" spans="1:14" ht="15.75" hidden="1">
      <c r="A212" s="1623" t="s">
        <v>39</v>
      </c>
      <c r="B212" s="1624"/>
      <c r="C212" s="460">
        <v>1</v>
      </c>
      <c r="D212" s="460">
        <v>2</v>
      </c>
      <c r="E212" s="460">
        <v>3</v>
      </c>
      <c r="F212" s="460">
        <v>4</v>
      </c>
      <c r="G212" s="460">
        <v>5</v>
      </c>
      <c r="H212" s="460">
        <v>6</v>
      </c>
      <c r="I212" s="460">
        <v>7</v>
      </c>
      <c r="J212" s="460">
        <v>8</v>
      </c>
      <c r="K212" s="460">
        <v>9</v>
      </c>
      <c r="L212" s="460">
        <v>10</v>
      </c>
      <c r="M212" s="460">
        <v>11</v>
      </c>
      <c r="N212" s="460">
        <v>12</v>
      </c>
    </row>
    <row r="213" spans="1:14" ht="0.75" customHeight="1" hidden="1">
      <c r="A213" s="506" t="s">
        <v>0</v>
      </c>
      <c r="B213" s="427" t="s">
        <v>130</v>
      </c>
      <c r="C213" s="791">
        <f aca="true" t="shared" si="61" ref="C213:C218">SUM(D213,E213,H213:N213)</f>
        <v>285108</v>
      </c>
      <c r="D213" s="799">
        <f>SUM(D214:D215)</f>
        <v>55375</v>
      </c>
      <c r="E213" s="799">
        <f aca="true" t="shared" si="62" ref="E213:J213">SUM(E214:E215)</f>
        <v>207645</v>
      </c>
      <c r="F213" s="799">
        <f t="shared" si="62"/>
        <v>0</v>
      </c>
      <c r="G213" s="799">
        <f t="shared" si="62"/>
        <v>207645</v>
      </c>
      <c r="H213" s="799">
        <f t="shared" si="62"/>
        <v>0</v>
      </c>
      <c r="I213" s="799">
        <f t="shared" si="62"/>
        <v>1950</v>
      </c>
      <c r="J213" s="799">
        <f t="shared" si="62"/>
        <v>0</v>
      </c>
      <c r="K213" s="799">
        <f>SUM(K214:K215)</f>
        <v>0</v>
      </c>
      <c r="L213" s="799">
        <f>SUM(L214:L215)</f>
        <v>0</v>
      </c>
      <c r="M213" s="799">
        <f>SUM(M214:M215)</f>
        <v>0</v>
      </c>
      <c r="N213" s="799">
        <f>SUM(N214:N215)</f>
        <v>20138</v>
      </c>
    </row>
    <row r="214" spans="1:14" ht="15.75" hidden="1">
      <c r="A214" s="507">
        <v>1</v>
      </c>
      <c r="B214" s="429" t="s">
        <v>131</v>
      </c>
      <c r="C214" s="796">
        <f t="shared" si="61"/>
        <v>69427</v>
      </c>
      <c r="D214" s="965">
        <v>45887</v>
      </c>
      <c r="E214" s="801">
        <f>SUM(F214:G214)</f>
        <v>23540</v>
      </c>
      <c r="F214" s="965">
        <v>0</v>
      </c>
      <c r="G214" s="965">
        <v>23540</v>
      </c>
      <c r="H214" s="965">
        <v>0</v>
      </c>
      <c r="I214" s="965">
        <v>0</v>
      </c>
      <c r="J214" s="965">
        <v>0</v>
      </c>
      <c r="K214" s="965">
        <v>0</v>
      </c>
      <c r="L214" s="965">
        <v>0</v>
      </c>
      <c r="M214" s="965">
        <v>0</v>
      </c>
      <c r="N214" s="965">
        <v>0</v>
      </c>
    </row>
    <row r="215" spans="1:14" ht="15.75" hidden="1">
      <c r="A215" s="507">
        <v>2</v>
      </c>
      <c r="B215" s="429" t="s">
        <v>132</v>
      </c>
      <c r="C215" s="796">
        <f t="shared" si="61"/>
        <v>215681</v>
      </c>
      <c r="D215" s="875">
        <f>4513+4975</f>
        <v>9488</v>
      </c>
      <c r="E215" s="801">
        <f>SUM(F215:G215)</f>
        <v>184105</v>
      </c>
      <c r="F215" s="964"/>
      <c r="G215" s="875">
        <f>177905+200+6000</f>
        <v>184105</v>
      </c>
      <c r="H215" s="875">
        <v>0</v>
      </c>
      <c r="I215" s="875">
        <f>1050+900</f>
        <v>1950</v>
      </c>
      <c r="J215" s="875">
        <v>0</v>
      </c>
      <c r="K215" s="875">
        <v>0</v>
      </c>
      <c r="L215" s="875">
        <v>0</v>
      </c>
      <c r="M215" s="875">
        <v>0</v>
      </c>
      <c r="N215" s="875">
        <f>20063+75</f>
        <v>20138</v>
      </c>
    </row>
    <row r="216" spans="1:14" ht="15.75" hidden="1">
      <c r="A216" s="508" t="s">
        <v>1</v>
      </c>
      <c r="B216" s="394" t="s">
        <v>133</v>
      </c>
      <c r="C216" s="796">
        <f t="shared" si="61"/>
        <v>0</v>
      </c>
      <c r="D216" s="803"/>
      <c r="E216" s="801">
        <f>SUM(F216:G216)</f>
        <v>0</v>
      </c>
      <c r="F216" s="964">
        <v>0</v>
      </c>
      <c r="G216" s="875"/>
      <c r="H216" s="875">
        <v>0</v>
      </c>
      <c r="I216" s="875"/>
      <c r="J216" s="875">
        <v>0</v>
      </c>
      <c r="K216" s="875">
        <v>0</v>
      </c>
      <c r="L216" s="875">
        <v>0</v>
      </c>
      <c r="M216" s="875">
        <v>0</v>
      </c>
      <c r="N216" s="875"/>
    </row>
    <row r="217" spans="1:14" ht="15" hidden="1">
      <c r="A217" s="508" t="s">
        <v>9</v>
      </c>
      <c r="B217" s="394" t="s">
        <v>134</v>
      </c>
      <c r="C217" s="796">
        <f t="shared" si="61"/>
        <v>0</v>
      </c>
      <c r="D217" s="406"/>
      <c r="E217" s="801">
        <f>SUM(F217:G217)</f>
        <v>0</v>
      </c>
      <c r="F217" s="406"/>
      <c r="G217" s="406"/>
      <c r="H217" s="406"/>
      <c r="I217" s="406"/>
      <c r="J217" s="406"/>
      <c r="K217" s="406"/>
      <c r="L217" s="406"/>
      <c r="M217" s="406"/>
      <c r="N217" s="406"/>
    </row>
    <row r="218" spans="1:14" ht="16.5" customHeight="1" hidden="1">
      <c r="A218" s="508" t="s">
        <v>135</v>
      </c>
      <c r="B218" s="394" t="s">
        <v>136</v>
      </c>
      <c r="C218" s="791">
        <f t="shared" si="61"/>
        <v>285108</v>
      </c>
      <c r="D218" s="792">
        <f>D213-SUM(D216,D217)</f>
        <v>55375</v>
      </c>
      <c r="E218" s="792">
        <f aca="true" t="shared" si="63" ref="E218:N218">E213-SUM(E216,E217)</f>
        <v>207645</v>
      </c>
      <c r="F218" s="792">
        <f t="shared" si="63"/>
        <v>0</v>
      </c>
      <c r="G218" s="792">
        <f t="shared" si="63"/>
        <v>207645</v>
      </c>
      <c r="H218" s="792">
        <f t="shared" si="63"/>
        <v>0</v>
      </c>
      <c r="I218" s="792">
        <f t="shared" si="63"/>
        <v>1950</v>
      </c>
      <c r="J218" s="792">
        <f t="shared" si="63"/>
        <v>0</v>
      </c>
      <c r="K218" s="792">
        <f t="shared" si="63"/>
        <v>0</v>
      </c>
      <c r="L218" s="792">
        <f t="shared" si="63"/>
        <v>0</v>
      </c>
      <c r="M218" s="792">
        <f t="shared" si="63"/>
        <v>0</v>
      </c>
      <c r="N218" s="792">
        <f t="shared" si="63"/>
        <v>20138</v>
      </c>
    </row>
    <row r="219" spans="1:14" ht="15" hidden="1">
      <c r="A219" s="508" t="s">
        <v>51</v>
      </c>
      <c r="B219" s="430" t="s">
        <v>137</v>
      </c>
      <c r="C219" s="800">
        <f>SUM(C220:C227)</f>
        <v>138329</v>
      </c>
      <c r="D219" s="800">
        <f>SUM(D220:D227)</f>
        <v>12438</v>
      </c>
      <c r="E219" s="800">
        <f>SUM(E220:E227)</f>
        <v>103803</v>
      </c>
      <c r="F219" s="800">
        <f aca="true" t="shared" si="64" ref="F219:N219">SUM(F220:F227)</f>
        <v>0</v>
      </c>
      <c r="G219" s="800">
        <f t="shared" si="64"/>
        <v>103803</v>
      </c>
      <c r="H219" s="800">
        <f t="shared" si="64"/>
        <v>0</v>
      </c>
      <c r="I219" s="800">
        <f t="shared" si="64"/>
        <v>1950</v>
      </c>
      <c r="J219" s="800">
        <f t="shared" si="64"/>
        <v>0</v>
      </c>
      <c r="K219" s="800">
        <f t="shared" si="64"/>
        <v>0</v>
      </c>
      <c r="L219" s="800">
        <f t="shared" si="64"/>
        <v>0</v>
      </c>
      <c r="M219" s="800">
        <f t="shared" si="64"/>
        <v>0</v>
      </c>
      <c r="N219" s="800">
        <f t="shared" si="64"/>
        <v>20138</v>
      </c>
    </row>
    <row r="220" spans="1:14" ht="15.75" hidden="1">
      <c r="A220" s="507" t="s">
        <v>53</v>
      </c>
      <c r="B220" s="429" t="s">
        <v>138</v>
      </c>
      <c r="C220" s="796">
        <f>SUM(D220,E220,H220:N220)</f>
        <v>120344</v>
      </c>
      <c r="D220" s="886">
        <f>3438+3000</f>
        <v>6438</v>
      </c>
      <c r="E220" s="801">
        <f aca="true" t="shared" si="65" ref="E220:E225">SUM(F220:G220)</f>
        <v>92043</v>
      </c>
      <c r="F220" s="960"/>
      <c r="G220" s="886">
        <f>63275+28768</f>
        <v>92043</v>
      </c>
      <c r="H220" s="886">
        <v>0</v>
      </c>
      <c r="I220" s="886">
        <f>1725+75</f>
        <v>1800</v>
      </c>
      <c r="J220" s="886">
        <v>0</v>
      </c>
      <c r="K220" s="886">
        <v>0</v>
      </c>
      <c r="L220" s="886">
        <v>0</v>
      </c>
      <c r="M220" s="886">
        <v>0</v>
      </c>
      <c r="N220" s="875">
        <f>20063</f>
        <v>20063</v>
      </c>
    </row>
    <row r="221" spans="1:14" ht="15.75" hidden="1">
      <c r="A221" s="507" t="s">
        <v>54</v>
      </c>
      <c r="B221" s="429" t="s">
        <v>139</v>
      </c>
      <c r="C221" s="796">
        <f>SUM(D221,E221,H221:N221)</f>
        <v>1000</v>
      </c>
      <c r="D221" s="960">
        <v>0</v>
      </c>
      <c r="E221" s="801">
        <f t="shared" si="65"/>
        <v>1000</v>
      </c>
      <c r="F221" s="960">
        <v>0</v>
      </c>
      <c r="G221" s="886">
        <v>1000</v>
      </c>
      <c r="H221" s="886">
        <v>0</v>
      </c>
      <c r="I221" s="886">
        <v>0</v>
      </c>
      <c r="J221" s="886">
        <v>0</v>
      </c>
      <c r="K221" s="886">
        <v>0</v>
      </c>
      <c r="L221" s="886">
        <v>0</v>
      </c>
      <c r="M221" s="886">
        <v>0</v>
      </c>
      <c r="N221" s="886">
        <v>0</v>
      </c>
    </row>
    <row r="222" spans="1:14" ht="14.25" customHeight="1" hidden="1">
      <c r="A222" s="507" t="s">
        <v>140</v>
      </c>
      <c r="B222" s="429" t="s">
        <v>201</v>
      </c>
      <c r="C222" s="796">
        <f>SUM(D222,E222,H222:N222)</f>
        <v>0</v>
      </c>
      <c r="D222" s="964">
        <v>0</v>
      </c>
      <c r="E222" s="801">
        <f t="shared" si="65"/>
        <v>0</v>
      </c>
      <c r="F222" s="964">
        <v>0</v>
      </c>
      <c r="G222" s="875">
        <v>0</v>
      </c>
      <c r="H222" s="886">
        <v>0</v>
      </c>
      <c r="I222" s="886">
        <v>0</v>
      </c>
      <c r="J222" s="886">
        <v>0</v>
      </c>
      <c r="K222" s="886">
        <v>0</v>
      </c>
      <c r="L222" s="886">
        <v>0</v>
      </c>
      <c r="M222" s="886">
        <v>0</v>
      </c>
      <c r="N222" s="886">
        <v>0</v>
      </c>
    </row>
    <row r="223" spans="1:14" ht="15.75" hidden="1">
      <c r="A223" s="507" t="s">
        <v>142</v>
      </c>
      <c r="B223" s="429" t="s">
        <v>141</v>
      </c>
      <c r="C223" s="796">
        <f>D223+E223+H223+I223+J223+K223+L223+M223+N223</f>
        <v>16985</v>
      </c>
      <c r="D223" s="875">
        <f>9000-3000</f>
        <v>6000</v>
      </c>
      <c r="E223" s="801">
        <f t="shared" si="65"/>
        <v>10760</v>
      </c>
      <c r="F223" s="964">
        <v>0</v>
      </c>
      <c r="G223" s="875">
        <f>39528-28768</f>
        <v>10760</v>
      </c>
      <c r="H223" s="886">
        <v>0</v>
      </c>
      <c r="I223" s="886">
        <f>225-75</f>
        <v>150</v>
      </c>
      <c r="J223" s="886">
        <v>0</v>
      </c>
      <c r="K223" s="886">
        <v>0</v>
      </c>
      <c r="L223" s="886">
        <v>0</v>
      </c>
      <c r="M223" s="886">
        <v>0</v>
      </c>
      <c r="N223" s="1111">
        <v>75</v>
      </c>
    </row>
    <row r="224" spans="1:14" ht="15.75" hidden="1">
      <c r="A224" s="507" t="s">
        <v>144</v>
      </c>
      <c r="B224" s="429" t="s">
        <v>143</v>
      </c>
      <c r="C224" s="797">
        <f>SUM(D224,E224,H224:N224)</f>
        <v>0</v>
      </c>
      <c r="D224" s="960">
        <v>0</v>
      </c>
      <c r="E224" s="805">
        <f t="shared" si="65"/>
        <v>0</v>
      </c>
      <c r="F224" s="960">
        <v>0</v>
      </c>
      <c r="G224" s="960">
        <v>0</v>
      </c>
      <c r="H224" s="960">
        <v>0</v>
      </c>
      <c r="I224" s="960">
        <v>0</v>
      </c>
      <c r="J224" s="960">
        <v>0</v>
      </c>
      <c r="K224" s="960">
        <v>0</v>
      </c>
      <c r="L224" s="960">
        <v>0</v>
      </c>
      <c r="M224" s="960">
        <v>0</v>
      </c>
      <c r="N224" s="960"/>
    </row>
    <row r="225" spans="1:14" ht="15.75" hidden="1">
      <c r="A225" s="507" t="s">
        <v>146</v>
      </c>
      <c r="B225" s="429" t="s">
        <v>145</v>
      </c>
      <c r="C225" s="796">
        <f>SUM(D225,E225,H225:N225)</f>
        <v>0</v>
      </c>
      <c r="D225" s="960">
        <v>0</v>
      </c>
      <c r="E225" s="801">
        <f t="shared" si="65"/>
        <v>0</v>
      </c>
      <c r="F225" s="960">
        <v>0</v>
      </c>
      <c r="G225" s="960">
        <v>0</v>
      </c>
      <c r="H225" s="960">
        <v>0</v>
      </c>
      <c r="I225" s="960">
        <v>0</v>
      </c>
      <c r="J225" s="960">
        <v>0</v>
      </c>
      <c r="K225" s="960">
        <v>0</v>
      </c>
      <c r="L225" s="960">
        <v>0</v>
      </c>
      <c r="M225" s="960">
        <v>0</v>
      </c>
      <c r="N225" s="960">
        <v>0</v>
      </c>
    </row>
    <row r="226" spans="1:14" ht="15.75" customHeight="1" hidden="1">
      <c r="A226" s="507" t="s">
        <v>148</v>
      </c>
      <c r="B226" s="431" t="s">
        <v>147</v>
      </c>
      <c r="C226" s="796">
        <f>SUM(D226,E226,H226:N226)</f>
        <v>0</v>
      </c>
      <c r="D226" s="964">
        <v>0</v>
      </c>
      <c r="E226" s="801">
        <f>SUM(F226:G226)</f>
        <v>0</v>
      </c>
      <c r="F226" s="804"/>
      <c r="G226" s="804"/>
      <c r="H226" s="804"/>
      <c r="I226" s="804"/>
      <c r="J226" s="804"/>
      <c r="K226" s="804"/>
      <c r="L226" s="804"/>
      <c r="M226" s="804"/>
      <c r="N226" s="804"/>
    </row>
    <row r="227" spans="1:14" ht="17.25" customHeight="1" hidden="1">
      <c r="A227" s="507" t="s">
        <v>185</v>
      </c>
      <c r="B227" s="429" t="s">
        <v>149</v>
      </c>
      <c r="C227" s="796">
        <f>SUM(D227,E227,H227:N227)</f>
        <v>0</v>
      </c>
      <c r="D227" s="964">
        <v>0</v>
      </c>
      <c r="E227" s="801">
        <f>SUM(F227:G227)</f>
        <v>0</v>
      </c>
      <c r="F227" s="804">
        <f>0+0+0</f>
        <v>0</v>
      </c>
      <c r="G227" s="804"/>
      <c r="H227" s="804"/>
      <c r="I227" s="804"/>
      <c r="J227" s="804"/>
      <c r="K227" s="804"/>
      <c r="L227" s="804"/>
      <c r="M227" s="804"/>
      <c r="N227" s="804"/>
    </row>
    <row r="228" spans="1:14" ht="15" hidden="1">
      <c r="A228" s="508" t="s">
        <v>52</v>
      </c>
      <c r="B228" s="394" t="s">
        <v>150</v>
      </c>
      <c r="C228" s="791">
        <f>C218-C219</f>
        <v>146779</v>
      </c>
      <c r="D228" s="791">
        <f>D218-D219</f>
        <v>42937</v>
      </c>
      <c r="E228" s="791">
        <f>E218-E219</f>
        <v>103842</v>
      </c>
      <c r="F228" s="791">
        <f>F218-F219</f>
        <v>0</v>
      </c>
      <c r="G228" s="791">
        <f>G218-G219</f>
        <v>103842</v>
      </c>
      <c r="H228" s="791">
        <f aca="true" t="shared" si="66" ref="H228:N228">H218-H219</f>
        <v>0</v>
      </c>
      <c r="I228" s="791">
        <f t="shared" si="66"/>
        <v>0</v>
      </c>
      <c r="J228" s="791">
        <f t="shared" si="66"/>
        <v>0</v>
      </c>
      <c r="K228" s="791">
        <f t="shared" si="66"/>
        <v>0</v>
      </c>
      <c r="L228" s="791">
        <f t="shared" si="66"/>
        <v>0</v>
      </c>
      <c r="M228" s="791">
        <f t="shared" si="66"/>
        <v>0</v>
      </c>
      <c r="N228" s="791">
        <f t="shared" si="66"/>
        <v>0</v>
      </c>
    </row>
    <row r="229" spans="1:14" ht="24" hidden="1">
      <c r="A229" s="534" t="s">
        <v>538</v>
      </c>
      <c r="B229" s="463" t="s">
        <v>202</v>
      </c>
      <c r="C229" s="532">
        <f>(C220+C221+C222)/C219</f>
        <v>0.8772130211307824</v>
      </c>
      <c r="D229" s="533">
        <f aca="true" t="shared" si="67" ref="D229:N229">(D220+D221+D222)/D219</f>
        <v>0.517607332368548</v>
      </c>
      <c r="E229" s="532">
        <f t="shared" si="67"/>
        <v>0.896342109572941</v>
      </c>
      <c r="F229" s="533" t="e">
        <f t="shared" si="67"/>
        <v>#DIV/0!</v>
      </c>
      <c r="G229" s="533">
        <f t="shared" si="67"/>
        <v>0.896342109572941</v>
      </c>
      <c r="H229" s="533" t="e">
        <f t="shared" si="67"/>
        <v>#DIV/0!</v>
      </c>
      <c r="I229" s="533">
        <f t="shared" si="67"/>
        <v>0.9230769230769231</v>
      </c>
      <c r="J229" s="533" t="e">
        <f t="shared" si="67"/>
        <v>#DIV/0!</v>
      </c>
      <c r="K229" s="533" t="e">
        <f t="shared" si="67"/>
        <v>#DIV/0!</v>
      </c>
      <c r="L229" s="533" t="e">
        <f t="shared" si="67"/>
        <v>#DIV/0!</v>
      </c>
      <c r="M229" s="533" t="e">
        <f t="shared" si="67"/>
        <v>#DIV/0!</v>
      </c>
      <c r="N229" s="533">
        <f t="shared" si="67"/>
        <v>0.9962756976859668</v>
      </c>
    </row>
    <row r="230" ht="15"/>
  </sheetData>
  <sheetProtection/>
  <mergeCells count="140">
    <mergeCell ref="E7:G7"/>
    <mergeCell ref="E8:E9"/>
    <mergeCell ref="D7:D9"/>
    <mergeCell ref="A1:B1"/>
    <mergeCell ref="A2:C2"/>
    <mergeCell ref="A3:B3"/>
    <mergeCell ref="A6:B9"/>
    <mergeCell ref="C6:C9"/>
    <mergeCell ref="A10:B10"/>
    <mergeCell ref="D2:I2"/>
    <mergeCell ref="D3:I3"/>
    <mergeCell ref="D6:N6"/>
    <mergeCell ref="L7:L9"/>
    <mergeCell ref="N7:N9"/>
    <mergeCell ref="J7:J9"/>
    <mergeCell ref="H7:H9"/>
    <mergeCell ref="K7:K9"/>
    <mergeCell ref="F8:G8"/>
    <mergeCell ref="I7:I9"/>
    <mergeCell ref="H40:H42"/>
    <mergeCell ref="I40:I42"/>
    <mergeCell ref="J40:J42"/>
    <mergeCell ref="K40:K42"/>
    <mergeCell ref="L40:L42"/>
    <mergeCell ref="N88:N90"/>
    <mergeCell ref="M40:M42"/>
    <mergeCell ref="N40:N42"/>
    <mergeCell ref="E41:E42"/>
    <mergeCell ref="F41:G41"/>
    <mergeCell ref="M7:M9"/>
    <mergeCell ref="E64:G64"/>
    <mergeCell ref="M64:M66"/>
    <mergeCell ref="N64:N66"/>
    <mergeCell ref="E65:E66"/>
    <mergeCell ref="J64:J66"/>
    <mergeCell ref="K64:K66"/>
    <mergeCell ref="L64:L66"/>
    <mergeCell ref="A39:B42"/>
    <mergeCell ref="C39:C42"/>
    <mergeCell ref="D39:N39"/>
    <mergeCell ref="D40:D42"/>
    <mergeCell ref="E40:G40"/>
    <mergeCell ref="F65:G65"/>
    <mergeCell ref="F89:G89"/>
    <mergeCell ref="I88:I90"/>
    <mergeCell ref="J88:J90"/>
    <mergeCell ref="A43:B43"/>
    <mergeCell ref="A63:B66"/>
    <mergeCell ref="C63:C66"/>
    <mergeCell ref="D63:N63"/>
    <mergeCell ref="D64:D66"/>
    <mergeCell ref="H64:H66"/>
    <mergeCell ref="I64:I66"/>
    <mergeCell ref="I112:I114"/>
    <mergeCell ref="N112:N114"/>
    <mergeCell ref="E113:E114"/>
    <mergeCell ref="A67:B67"/>
    <mergeCell ref="A87:B90"/>
    <mergeCell ref="C87:C90"/>
    <mergeCell ref="D87:N87"/>
    <mergeCell ref="D88:D90"/>
    <mergeCell ref="E88:G88"/>
    <mergeCell ref="E89:E90"/>
    <mergeCell ref="H137:H139"/>
    <mergeCell ref="I137:I139"/>
    <mergeCell ref="J137:J139"/>
    <mergeCell ref="K137:K139"/>
    <mergeCell ref="A91:B91"/>
    <mergeCell ref="A111:B114"/>
    <mergeCell ref="C111:C114"/>
    <mergeCell ref="D111:N111"/>
    <mergeCell ref="D112:D114"/>
    <mergeCell ref="E112:G112"/>
    <mergeCell ref="M112:M114"/>
    <mergeCell ref="F113:G113"/>
    <mergeCell ref="L88:L90"/>
    <mergeCell ref="M88:M90"/>
    <mergeCell ref="J112:J114"/>
    <mergeCell ref="K112:K114"/>
    <mergeCell ref="L112:L114"/>
    <mergeCell ref="K88:K90"/>
    <mergeCell ref="H88:H90"/>
    <mergeCell ref="H112:H114"/>
    <mergeCell ref="M137:M139"/>
    <mergeCell ref="A115:B115"/>
    <mergeCell ref="A136:B139"/>
    <mergeCell ref="C136:C139"/>
    <mergeCell ref="L137:L139"/>
    <mergeCell ref="E138:E139"/>
    <mergeCell ref="F138:G138"/>
    <mergeCell ref="D136:N136"/>
    <mergeCell ref="D137:D139"/>
    <mergeCell ref="E137:G137"/>
    <mergeCell ref="N137:N139"/>
    <mergeCell ref="A140:B140"/>
    <mergeCell ref="E185:G185"/>
    <mergeCell ref="L185:L187"/>
    <mergeCell ref="F162:G162"/>
    <mergeCell ref="H185:H187"/>
    <mergeCell ref="I185:I187"/>
    <mergeCell ref="H161:H163"/>
    <mergeCell ref="I161:I163"/>
    <mergeCell ref="J161:J163"/>
    <mergeCell ref="K161:K163"/>
    <mergeCell ref="A160:B163"/>
    <mergeCell ref="C160:C163"/>
    <mergeCell ref="D160:N160"/>
    <mergeCell ref="D161:D163"/>
    <mergeCell ref="E161:G161"/>
    <mergeCell ref="N161:N163"/>
    <mergeCell ref="E162:E163"/>
    <mergeCell ref="L161:L163"/>
    <mergeCell ref="M161:M163"/>
    <mergeCell ref="E209:G209"/>
    <mergeCell ref="E210:E211"/>
    <mergeCell ref="K209:K211"/>
    <mergeCell ref="H209:H211"/>
    <mergeCell ref="M185:M187"/>
    <mergeCell ref="K185:K187"/>
    <mergeCell ref="J185:J187"/>
    <mergeCell ref="A212:B212"/>
    <mergeCell ref="I209:I211"/>
    <mergeCell ref="J209:J211"/>
    <mergeCell ref="L209:L211"/>
    <mergeCell ref="A164:B164"/>
    <mergeCell ref="A184:B187"/>
    <mergeCell ref="C184:C187"/>
    <mergeCell ref="D184:N184"/>
    <mergeCell ref="D185:D187"/>
    <mergeCell ref="N209:N211"/>
    <mergeCell ref="N185:N187"/>
    <mergeCell ref="E186:E187"/>
    <mergeCell ref="A188:B188"/>
    <mergeCell ref="A208:B211"/>
    <mergeCell ref="C208:C211"/>
    <mergeCell ref="D209:D211"/>
    <mergeCell ref="D208:N208"/>
    <mergeCell ref="M209:M211"/>
    <mergeCell ref="F210:G210"/>
    <mergeCell ref="F186:G186"/>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zoomScale="80" zoomScaleNormal="80" zoomScaleSheetLayoutView="85" zoomScalePageLayoutView="0" workbookViewId="0" topLeftCell="A16">
      <selection activeCell="C18" sqref="C18"/>
    </sheetView>
  </sheetViews>
  <sheetFormatPr defaultColWidth="9.00390625" defaultRowHeight="15.75"/>
  <cols>
    <col min="1" max="1" width="4.25390625" style="423" customWidth="1"/>
    <col min="2" max="2" width="46.875" style="423" customWidth="1"/>
    <col min="3" max="3" width="39.50390625" style="423" customWidth="1"/>
    <col min="4" max="16384" width="9.00390625" style="423" customWidth="1"/>
  </cols>
  <sheetData>
    <row r="1" spans="1:3" s="435" customFormat="1" ht="36" customHeight="1">
      <c r="A1" s="1616" t="s">
        <v>203</v>
      </c>
      <c r="B1" s="1617"/>
      <c r="C1" s="1617"/>
    </row>
    <row r="2" spans="1:3" s="443" customFormat="1" ht="21.75" customHeight="1">
      <c r="A2" s="1627" t="s">
        <v>69</v>
      </c>
      <c r="B2" s="1628"/>
      <c r="C2" s="464" t="s">
        <v>340</v>
      </c>
    </row>
    <row r="3" spans="1:3" s="443" customFormat="1" ht="24.75" customHeight="1">
      <c r="A3" s="1629" t="s">
        <v>6</v>
      </c>
      <c r="B3" s="1630"/>
      <c r="C3" s="19">
        <v>1</v>
      </c>
    </row>
    <row r="4" spans="1:3" ht="21" customHeight="1">
      <c r="A4" s="440" t="s">
        <v>51</v>
      </c>
      <c r="B4" s="521" t="s">
        <v>552</v>
      </c>
      <c r="C4" s="402">
        <f>C5+C6+C7+C8+C9+C10+C11</f>
        <v>224181</v>
      </c>
    </row>
    <row r="5" spans="1:3" s="26" customFormat="1" ht="21" customHeight="1">
      <c r="A5" s="445" t="s">
        <v>53</v>
      </c>
      <c r="B5" s="522" t="s">
        <v>152</v>
      </c>
      <c r="C5" s="406"/>
    </row>
    <row r="6" spans="1:3" s="26" customFormat="1" ht="21" customHeight="1">
      <c r="A6" s="445" t="s">
        <v>54</v>
      </c>
      <c r="B6" s="522" t="s">
        <v>153</v>
      </c>
      <c r="C6" s="406"/>
    </row>
    <row r="7" spans="1:3" s="26" customFormat="1" ht="21" customHeight="1">
      <c r="A7" s="445" t="s">
        <v>140</v>
      </c>
      <c r="B7" s="522" t="s">
        <v>154</v>
      </c>
      <c r="C7" s="406">
        <f>201975+22206</f>
        <v>224181</v>
      </c>
    </row>
    <row r="8" spans="1:3" s="26" customFormat="1" ht="21" customHeight="1">
      <c r="A8" s="445" t="s">
        <v>142</v>
      </c>
      <c r="B8" s="522" t="s">
        <v>155</v>
      </c>
      <c r="C8" s="406"/>
    </row>
    <row r="9" spans="1:3" s="26" customFormat="1" ht="21" customHeight="1">
      <c r="A9" s="445" t="s">
        <v>144</v>
      </c>
      <c r="B9" s="522" t="s">
        <v>156</v>
      </c>
      <c r="C9" s="406"/>
    </row>
    <row r="10" spans="1:3" s="26" customFormat="1" ht="21" customHeight="1">
      <c r="A10" s="445" t="s">
        <v>146</v>
      </c>
      <c r="B10" s="522" t="s">
        <v>157</v>
      </c>
      <c r="C10" s="406"/>
    </row>
    <row r="11" spans="1:3" s="26" customFormat="1" ht="21" customHeight="1">
      <c r="A11" s="445" t="s">
        <v>148</v>
      </c>
      <c r="B11" s="522" t="s">
        <v>159</v>
      </c>
      <c r="C11" s="406"/>
    </row>
    <row r="12" spans="1:3" s="446" customFormat="1" ht="21" customHeight="1">
      <c r="A12" s="440" t="s">
        <v>52</v>
      </c>
      <c r="B12" s="521" t="s">
        <v>548</v>
      </c>
      <c r="C12" s="402">
        <f>C13+C14</f>
        <v>0</v>
      </c>
    </row>
    <row r="13" spans="1:3" s="26" customFormat="1" ht="21" customHeight="1">
      <c r="A13" s="444" t="s">
        <v>55</v>
      </c>
      <c r="B13" s="522" t="s">
        <v>158</v>
      </c>
      <c r="C13" s="406"/>
    </row>
    <row r="14" spans="1:3" ht="21" customHeight="1">
      <c r="A14" s="445" t="s">
        <v>56</v>
      </c>
      <c r="B14" s="522" t="s">
        <v>159</v>
      </c>
      <c r="C14" s="406"/>
    </row>
    <row r="15" spans="1:3" ht="21" customHeight="1">
      <c r="A15" s="440" t="s">
        <v>57</v>
      </c>
      <c r="B15" s="535" t="s">
        <v>149</v>
      </c>
      <c r="C15" s="402">
        <f>C16+C17+C18</f>
        <v>6789</v>
      </c>
    </row>
    <row r="16" spans="1:3" ht="21" customHeight="1">
      <c r="A16" s="445" t="s">
        <v>160</v>
      </c>
      <c r="B16" s="522" t="s">
        <v>188</v>
      </c>
      <c r="C16" s="406">
        <f>3113+1000+2676</f>
        <v>6789</v>
      </c>
    </row>
    <row r="17" spans="1:3" s="26" customFormat="1" ht="30">
      <c r="A17" s="445" t="s">
        <v>162</v>
      </c>
      <c r="B17" s="522" t="s">
        <v>163</v>
      </c>
      <c r="C17" s="406"/>
    </row>
    <row r="18" spans="1:3" s="26" customFormat="1" ht="27" customHeight="1">
      <c r="A18" s="445" t="s">
        <v>164</v>
      </c>
      <c r="B18" s="522" t="s">
        <v>165</v>
      </c>
      <c r="C18" s="406"/>
    </row>
    <row r="19" spans="1:3" s="26" customFormat="1" ht="21" customHeight="1">
      <c r="A19" s="440" t="s">
        <v>72</v>
      </c>
      <c r="B19" s="1129" t="s">
        <v>553</v>
      </c>
      <c r="C19" s="402">
        <v>419793</v>
      </c>
    </row>
    <row r="20" spans="1:3" s="26" customFormat="1" ht="21" customHeight="1">
      <c r="A20" s="445" t="s">
        <v>166</v>
      </c>
      <c r="B20" s="522" t="s">
        <v>167</v>
      </c>
      <c r="C20" s="406">
        <v>80750</v>
      </c>
    </row>
    <row r="21" spans="1:3" s="26" customFormat="1" ht="21" customHeight="1">
      <c r="A21" s="445" t="s">
        <v>168</v>
      </c>
      <c r="B21" s="522" t="s">
        <v>169</v>
      </c>
      <c r="C21" s="406" t="s">
        <v>585</v>
      </c>
    </row>
    <row r="22" spans="1:3" s="26" customFormat="1" ht="21" customHeight="1">
      <c r="A22" s="947" t="s">
        <v>172</v>
      </c>
      <c r="B22" s="522" t="s">
        <v>171</v>
      </c>
      <c r="C22" s="406"/>
    </row>
    <row r="23" spans="1:3" s="26" customFormat="1" ht="21" customHeight="1">
      <c r="A23" s="947" t="s">
        <v>173</v>
      </c>
      <c r="B23" s="522" t="s">
        <v>155</v>
      </c>
      <c r="C23" s="990"/>
    </row>
    <row r="24" spans="1:3" s="26" customFormat="1" ht="21" customHeight="1">
      <c r="A24" s="947" t="s">
        <v>174</v>
      </c>
      <c r="B24" s="522" t="s">
        <v>156</v>
      </c>
      <c r="C24" s="1131">
        <f>50395+243400+14614+27736+2898</f>
        <v>339043</v>
      </c>
    </row>
    <row r="25" spans="1:3" s="26" customFormat="1" ht="21" customHeight="1">
      <c r="A25" s="445" t="s">
        <v>174</v>
      </c>
      <c r="B25" s="522" t="s">
        <v>175</v>
      </c>
      <c r="C25" s="406"/>
    </row>
    <row r="26" spans="1:3" s="26" customFormat="1" ht="21" customHeight="1">
      <c r="A26" s="440" t="s">
        <v>73</v>
      </c>
      <c r="B26" s="521" t="s">
        <v>551</v>
      </c>
      <c r="C26" s="402">
        <f>C27+C28+C29</f>
        <v>9427514</v>
      </c>
    </row>
    <row r="27" spans="1:5" s="26" customFormat="1" ht="21" customHeight="1">
      <c r="A27" s="445" t="s">
        <v>176</v>
      </c>
      <c r="B27" s="522" t="s">
        <v>167</v>
      </c>
      <c r="C27" s="406">
        <v>9395865</v>
      </c>
      <c r="E27" s="26" t="s">
        <v>796</v>
      </c>
    </row>
    <row r="28" spans="1:3" ht="21" customHeight="1">
      <c r="A28" s="445" t="s">
        <v>177</v>
      </c>
      <c r="B28" s="522" t="s">
        <v>169</v>
      </c>
      <c r="C28" s="406"/>
    </row>
    <row r="29" spans="1:3" s="26" customFormat="1" ht="21" customHeight="1">
      <c r="A29" s="445" t="s">
        <v>178</v>
      </c>
      <c r="B29" s="522" t="s">
        <v>179</v>
      </c>
      <c r="C29" s="406">
        <f>31649</f>
        <v>31649</v>
      </c>
    </row>
    <row r="30" spans="1:3" s="443" customFormat="1" ht="42" customHeight="1">
      <c r="A30" s="1631" t="str">
        <f>'Thong tin'!B8</f>
        <v>Tuyên Quang, ngày 05 tháng 04 năm 2018</v>
      </c>
      <c r="B30" s="1631"/>
      <c r="C30" s="1631"/>
    </row>
    <row r="31" spans="1:3" s="443" customFormat="1" ht="15.75" customHeight="1">
      <c r="A31" s="1614" t="s">
        <v>180</v>
      </c>
      <c r="B31" s="1614"/>
      <c r="C31" s="523" t="str">
        <f>'Thong tin'!B7</f>
        <v>CỤC TRƯỞNG</v>
      </c>
    </row>
    <row r="32" spans="1:3" s="467" customFormat="1" ht="18.75">
      <c r="A32" s="536"/>
      <c r="B32" s="537"/>
      <c r="C32" s="538"/>
    </row>
    <row r="33" spans="1:3" s="443" customFormat="1" ht="15.75" customHeight="1">
      <c r="A33" s="536"/>
      <c r="B33" s="539"/>
      <c r="C33" s="536"/>
    </row>
    <row r="34" spans="1:3" s="443" customFormat="1" ht="15.75" customHeight="1">
      <c r="A34" s="536"/>
      <c r="B34" s="539"/>
      <c r="C34" s="536"/>
    </row>
    <row r="35" spans="1:3" s="443" customFormat="1" ht="15.75" customHeight="1">
      <c r="A35" s="536"/>
      <c r="B35" s="540"/>
      <c r="C35" s="538"/>
    </row>
    <row r="36" spans="1:3" s="443" customFormat="1" ht="15.75" customHeight="1">
      <c r="A36" s="536"/>
      <c r="B36" s="539"/>
      <c r="C36" s="536"/>
    </row>
    <row r="37" spans="1:3" s="443" customFormat="1" ht="18.75" hidden="1">
      <c r="A37" s="541" t="s">
        <v>46</v>
      </c>
      <c r="B37" s="542"/>
      <c r="C37" s="542"/>
    </row>
    <row r="38" spans="1:3" s="443" customFormat="1" ht="18.75" hidden="1">
      <c r="A38" s="536"/>
      <c r="B38" s="536" t="s">
        <v>49</v>
      </c>
      <c r="C38" s="536"/>
    </row>
    <row r="39" spans="1:3" s="443" customFormat="1" ht="18.75" hidden="1">
      <c r="A39" s="536"/>
      <c r="B39" s="536" t="s">
        <v>63</v>
      </c>
      <c r="C39" s="536"/>
    </row>
    <row r="40" spans="1:3" s="443" customFormat="1" ht="18.75" hidden="1">
      <c r="A40" s="536"/>
      <c r="B40" s="536" t="s">
        <v>61</v>
      </c>
      <c r="C40" s="536"/>
    </row>
    <row r="41" spans="1:3" s="443" customFormat="1" ht="18.75" hidden="1">
      <c r="A41" s="536"/>
      <c r="B41" s="536" t="s">
        <v>64</v>
      </c>
      <c r="C41" s="536"/>
    </row>
    <row r="42" spans="1:3" s="443" customFormat="1" ht="18.75">
      <c r="A42" s="536"/>
      <c r="B42" s="536"/>
      <c r="C42" s="536"/>
    </row>
    <row r="43" spans="1:3" s="443" customFormat="1" ht="18.75">
      <c r="A43" s="1614" t="str">
        <f>'Thong tin'!B5</f>
        <v>Duy Thị Thúy</v>
      </c>
      <c r="B43" s="1614"/>
      <c r="C43" s="531" t="str">
        <f>'Thong tin'!B6</f>
        <v>Nguyễn Tuyên </v>
      </c>
    </row>
  </sheetData>
  <sheetProtection/>
  <mergeCells count="6">
    <mergeCell ref="A31:B31"/>
    <mergeCell ref="A43:B43"/>
    <mergeCell ref="A1:C1"/>
    <mergeCell ref="A2:B2"/>
    <mergeCell ref="A3:B3"/>
    <mergeCell ref="A30:C30"/>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18"/>
  <sheetViews>
    <sheetView showZeros="0" tabSelected="1" zoomScale="85" zoomScaleNormal="85" zoomScaleSheetLayoutView="85" zoomScalePageLayoutView="0" workbookViewId="0" topLeftCell="A1">
      <selection activeCell="B225" sqref="B225"/>
    </sheetView>
  </sheetViews>
  <sheetFormatPr defaultColWidth="9.00390625" defaultRowHeight="15.75"/>
  <cols>
    <col min="1" max="1" width="3.625" style="435" customWidth="1"/>
    <col min="2" max="2" width="22.50390625" style="388" customWidth="1"/>
    <col min="3" max="3" width="11.75390625" style="388" customWidth="1"/>
    <col min="4" max="4" width="11.625" style="388" customWidth="1"/>
    <col min="5" max="5" width="9.50390625" style="388" customWidth="1"/>
    <col min="6" max="6" width="9.125" style="388" customWidth="1"/>
    <col min="7" max="7" width="9.25390625" style="388" customWidth="1"/>
    <col min="8" max="8" width="7.50390625" style="388" customWidth="1"/>
    <col min="9" max="9" width="8.25390625" style="388" customWidth="1"/>
    <col min="10" max="10" width="10.75390625" style="388" customWidth="1"/>
    <col min="11" max="11" width="7.375" style="388" customWidth="1"/>
    <col min="12" max="12" width="5.125" style="388" customWidth="1"/>
    <col min="13" max="13" width="5.625" style="388" customWidth="1"/>
    <col min="14" max="14" width="4.00390625" style="388" customWidth="1"/>
    <col min="15" max="16" width="9.00390625" style="388" customWidth="1"/>
    <col min="17" max="17" width="34.375" style="388" customWidth="1"/>
    <col min="18" max="16384" width="9.00390625" style="388" customWidth="1"/>
  </cols>
  <sheetData>
    <row r="1" spans="1:17" ht="24.75" customHeight="1">
      <c r="A1" s="1597" t="s">
        <v>31</v>
      </c>
      <c r="B1" s="1597"/>
      <c r="C1" s="415"/>
      <c r="D1" s="1598" t="s">
        <v>193</v>
      </c>
      <c r="E1" s="1598"/>
      <c r="F1" s="1598"/>
      <c r="G1" s="1598"/>
      <c r="H1" s="1598"/>
      <c r="I1" s="1598"/>
      <c r="J1" s="1598"/>
      <c r="K1" s="1598"/>
      <c r="L1" s="1589" t="s">
        <v>540</v>
      </c>
      <c r="M1" s="1589"/>
      <c r="N1" s="1589"/>
      <c r="O1" s="1589"/>
      <c r="P1" s="414"/>
      <c r="Q1" s="414"/>
    </row>
    <row r="2" spans="1:17" ht="16.5" customHeight="1">
      <c r="A2" s="1626" t="s">
        <v>342</v>
      </c>
      <c r="B2" s="1626"/>
      <c r="C2" s="1626"/>
      <c r="D2" s="1598" t="s">
        <v>182</v>
      </c>
      <c r="E2" s="1598"/>
      <c r="F2" s="1598"/>
      <c r="G2" s="1598"/>
      <c r="H2" s="1598"/>
      <c r="I2" s="1598"/>
      <c r="J2" s="1598"/>
      <c r="K2" s="1598"/>
      <c r="L2" s="1590" t="str">
        <f>'Thong tin'!B4</f>
        <v>Cục THADS tỉnh Tuyên Quang</v>
      </c>
      <c r="M2" s="1590"/>
      <c r="N2" s="1590"/>
      <c r="O2" s="1590"/>
      <c r="P2" s="414"/>
      <c r="Q2" s="424"/>
    </row>
    <row r="3" spans="1:17" ht="16.5" customHeight="1">
      <c r="A3" s="1626" t="s">
        <v>343</v>
      </c>
      <c r="B3" s="1626"/>
      <c r="C3" s="414"/>
      <c r="D3" s="1592" t="str">
        <f>'Thong tin'!B3</f>
        <v>06 tháng / năm 2018</v>
      </c>
      <c r="E3" s="1592"/>
      <c r="F3" s="1592"/>
      <c r="G3" s="1592"/>
      <c r="H3" s="1592"/>
      <c r="I3" s="1592"/>
      <c r="J3" s="1592"/>
      <c r="K3" s="1592"/>
      <c r="L3" s="1589" t="s">
        <v>507</v>
      </c>
      <c r="M3" s="1589"/>
      <c r="N3" s="1589"/>
      <c r="O3" s="1589"/>
      <c r="P3" s="414"/>
      <c r="Q3" s="456"/>
    </row>
    <row r="4" spans="1:17" ht="16.5" customHeight="1">
      <c r="A4" s="418" t="s">
        <v>118</v>
      </c>
      <c r="B4" s="419"/>
      <c r="C4" s="420"/>
      <c r="D4" s="421"/>
      <c r="E4" s="421"/>
      <c r="F4" s="420"/>
      <c r="G4" s="422"/>
      <c r="H4" s="422"/>
      <c r="I4" s="422"/>
      <c r="J4" s="420"/>
      <c r="K4" s="421"/>
      <c r="L4" s="1590" t="s">
        <v>410</v>
      </c>
      <c r="M4" s="1590"/>
      <c r="N4" s="1590"/>
      <c r="O4" s="1590"/>
      <c r="P4" s="414"/>
      <c r="Q4" s="456"/>
    </row>
    <row r="5" spans="1:17" ht="16.5" customHeight="1">
      <c r="A5" s="423"/>
      <c r="B5" s="420"/>
      <c r="C5" s="420"/>
      <c r="D5" s="420"/>
      <c r="E5" s="420"/>
      <c r="F5" s="424"/>
      <c r="G5" s="425"/>
      <c r="H5" s="425"/>
      <c r="I5" s="425"/>
      <c r="J5" s="424"/>
      <c r="K5" s="426"/>
      <c r="L5" s="426"/>
      <c r="M5" s="426" t="s">
        <v>194</v>
      </c>
      <c r="N5" s="468"/>
      <c r="O5" s="414"/>
      <c r="P5" s="414"/>
      <c r="Q5" s="456"/>
    </row>
    <row r="6" spans="1:17" ht="18.75" customHeight="1">
      <c r="A6" s="1573" t="s">
        <v>68</v>
      </c>
      <c r="B6" s="1574"/>
      <c r="C6" s="1582" t="s">
        <v>37</v>
      </c>
      <c r="D6" s="1582" t="s">
        <v>335</v>
      </c>
      <c r="E6" s="1583"/>
      <c r="F6" s="1583"/>
      <c r="G6" s="1583"/>
      <c r="H6" s="1583"/>
      <c r="I6" s="1583"/>
      <c r="J6" s="1583"/>
      <c r="K6" s="1583"/>
      <c r="L6" s="1583"/>
      <c r="M6" s="1583"/>
      <c r="N6" s="1583"/>
      <c r="O6" s="1584"/>
      <c r="P6" s="453"/>
      <c r="Q6" s="458"/>
    </row>
    <row r="7" spans="1:17" ht="20.25" customHeight="1">
      <c r="A7" s="1575"/>
      <c r="B7" s="1576"/>
      <c r="C7" s="1596"/>
      <c r="D7" s="1586" t="s">
        <v>119</v>
      </c>
      <c r="E7" s="1593" t="s">
        <v>120</v>
      </c>
      <c r="F7" s="1594"/>
      <c r="G7" s="1595"/>
      <c r="H7" s="1569" t="s">
        <v>121</v>
      </c>
      <c r="I7" s="1569" t="s">
        <v>122</v>
      </c>
      <c r="J7" s="1569" t="s">
        <v>198</v>
      </c>
      <c r="K7" s="1569" t="s">
        <v>124</v>
      </c>
      <c r="L7" s="1569" t="s">
        <v>125</v>
      </c>
      <c r="M7" s="1569" t="s">
        <v>126</v>
      </c>
      <c r="N7" s="1569" t="s">
        <v>183</v>
      </c>
      <c r="O7" s="1569" t="s">
        <v>127</v>
      </c>
      <c r="P7" s="456"/>
      <c r="Q7" s="456"/>
    </row>
    <row r="8" spans="1:17" ht="21.75" customHeight="1">
      <c r="A8" s="1575"/>
      <c r="B8" s="1576"/>
      <c r="C8" s="1596"/>
      <c r="D8" s="1586"/>
      <c r="E8" s="1568" t="s">
        <v>36</v>
      </c>
      <c r="F8" s="1571" t="s">
        <v>7</v>
      </c>
      <c r="G8" s="1572"/>
      <c r="H8" s="1569"/>
      <c r="I8" s="1569"/>
      <c r="J8" s="1569"/>
      <c r="K8" s="1569"/>
      <c r="L8" s="1569"/>
      <c r="M8" s="1569"/>
      <c r="N8" s="1569"/>
      <c r="O8" s="1569"/>
      <c r="P8" s="1632"/>
      <c r="Q8" s="1632"/>
    </row>
    <row r="9" spans="1:17" ht="13.5" customHeight="1">
      <c r="A9" s="1577"/>
      <c r="B9" s="1578"/>
      <c r="C9" s="1596"/>
      <c r="D9" s="1587"/>
      <c r="E9" s="1570"/>
      <c r="F9" s="559" t="s">
        <v>199</v>
      </c>
      <c r="G9" s="560" t="s">
        <v>200</v>
      </c>
      <c r="H9" s="1570"/>
      <c r="I9" s="1570"/>
      <c r="J9" s="1570"/>
      <c r="K9" s="1570"/>
      <c r="L9" s="1570"/>
      <c r="M9" s="1570"/>
      <c r="N9" s="1570"/>
      <c r="O9" s="1570"/>
      <c r="P9" s="459"/>
      <c r="Q9" s="459"/>
    </row>
    <row r="10" spans="1:17" s="393" customFormat="1" ht="14.25" customHeight="1">
      <c r="A10" s="1566" t="s">
        <v>39</v>
      </c>
      <c r="B10" s="1567"/>
      <c r="C10" s="505">
        <v>1</v>
      </c>
      <c r="D10" s="505">
        <v>2</v>
      </c>
      <c r="E10" s="505">
        <v>3</v>
      </c>
      <c r="F10" s="505">
        <v>4</v>
      </c>
      <c r="G10" s="505">
        <v>5</v>
      </c>
      <c r="H10" s="505">
        <v>6</v>
      </c>
      <c r="I10" s="505">
        <v>7</v>
      </c>
      <c r="J10" s="505">
        <v>8</v>
      </c>
      <c r="K10" s="505">
        <v>9</v>
      </c>
      <c r="L10" s="505">
        <v>10</v>
      </c>
      <c r="M10" s="505">
        <v>11</v>
      </c>
      <c r="N10" s="505">
        <v>12</v>
      </c>
      <c r="O10" s="505">
        <v>13</v>
      </c>
      <c r="P10" s="469"/>
      <c r="Q10" s="469"/>
    </row>
    <row r="11" spans="1:17" ht="21" customHeight="1">
      <c r="A11" s="506" t="s">
        <v>0</v>
      </c>
      <c r="B11" s="427" t="s">
        <v>130</v>
      </c>
      <c r="C11" s="1142">
        <f aca="true" t="shared" si="0" ref="C11:C17">SUM(D11,E11,H11:O11)</f>
        <v>102880186</v>
      </c>
      <c r="D11" s="1141">
        <f>SUM(D12:D13)</f>
        <v>77555173</v>
      </c>
      <c r="E11" s="1141">
        <f aca="true" t="shared" si="1" ref="E11:O11">SUM(E12:E13)</f>
        <v>10563549</v>
      </c>
      <c r="F11" s="1141">
        <f t="shared" si="1"/>
        <v>0</v>
      </c>
      <c r="G11" s="1141">
        <f t="shared" si="1"/>
        <v>10563549</v>
      </c>
      <c r="H11" s="1141">
        <f t="shared" si="1"/>
        <v>0</v>
      </c>
      <c r="I11" s="1141">
        <f t="shared" si="1"/>
        <v>2726901</v>
      </c>
      <c r="J11" s="1141">
        <f t="shared" si="1"/>
        <v>11938592</v>
      </c>
      <c r="K11" s="1141">
        <f>SUM(K12:K13)</f>
        <v>57471</v>
      </c>
      <c r="L11" s="1141">
        <f t="shared" si="1"/>
        <v>0</v>
      </c>
      <c r="M11" s="1141">
        <f t="shared" si="1"/>
        <v>0</v>
      </c>
      <c r="N11" s="1141">
        <f t="shared" si="1"/>
        <v>0</v>
      </c>
      <c r="O11" s="1141">
        <f t="shared" si="1"/>
        <v>38500</v>
      </c>
      <c r="P11" s="458"/>
      <c r="Q11" s="458"/>
    </row>
    <row r="12" spans="1:17" ht="21" customHeight="1">
      <c r="A12" s="507">
        <v>1</v>
      </c>
      <c r="B12" s="429" t="s">
        <v>131</v>
      </c>
      <c r="C12" s="1139">
        <f t="shared" si="0"/>
        <v>85149759</v>
      </c>
      <c r="D12" s="821">
        <f>D40+D64+D87+D111+D135+D158+D181+D204</f>
        <v>68234637</v>
      </c>
      <c r="E12" s="1154">
        <f aca="true" t="shared" si="2" ref="E12:E24">SUM(F12:G12)</f>
        <v>7866131</v>
      </c>
      <c r="F12" s="821">
        <f>F40+F64+F87+F111+F135+F158+F181+F204</f>
        <v>0</v>
      </c>
      <c r="G12" s="821">
        <f aca="true" t="shared" si="3" ref="G12:O12">G40+G64+G87+G111+G135+G158+G181+G204</f>
        <v>7866131</v>
      </c>
      <c r="H12" s="821">
        <f t="shared" si="3"/>
        <v>0</v>
      </c>
      <c r="I12" s="821">
        <f t="shared" si="3"/>
        <v>785134</v>
      </c>
      <c r="J12" s="821">
        <f t="shared" si="3"/>
        <v>8167886</v>
      </c>
      <c r="K12" s="821">
        <f t="shared" si="3"/>
        <v>57471</v>
      </c>
      <c r="L12" s="821">
        <f t="shared" si="3"/>
        <v>0</v>
      </c>
      <c r="M12" s="821">
        <f t="shared" si="3"/>
        <v>0</v>
      </c>
      <c r="N12" s="821">
        <f t="shared" si="3"/>
        <v>0</v>
      </c>
      <c r="O12" s="821">
        <f t="shared" si="3"/>
        <v>38500</v>
      </c>
      <c r="P12" s="456"/>
      <c r="Q12" s="456"/>
    </row>
    <row r="13" spans="1:17" ht="21" customHeight="1">
      <c r="A13" s="507">
        <v>2</v>
      </c>
      <c r="B13" s="429" t="s">
        <v>132</v>
      </c>
      <c r="C13" s="1139">
        <f t="shared" si="0"/>
        <v>17730427</v>
      </c>
      <c r="D13" s="821">
        <f>D41+D65+D88+D112+D136+D159+D182+D205</f>
        <v>9320536</v>
      </c>
      <c r="E13" s="1154">
        <f t="shared" si="2"/>
        <v>2697418</v>
      </c>
      <c r="F13" s="821">
        <f aca="true" t="shared" si="4" ref="F13:O15">F41+F65+F88+F112+F136+F159+F182+F205</f>
        <v>0</v>
      </c>
      <c r="G13" s="821">
        <f t="shared" si="4"/>
        <v>2697418</v>
      </c>
      <c r="H13" s="821">
        <f t="shared" si="4"/>
        <v>0</v>
      </c>
      <c r="I13" s="821">
        <f t="shared" si="4"/>
        <v>1941767</v>
      </c>
      <c r="J13" s="821">
        <f t="shared" si="4"/>
        <v>3770706</v>
      </c>
      <c r="K13" s="821">
        <f t="shared" si="4"/>
        <v>0</v>
      </c>
      <c r="L13" s="821">
        <f t="shared" si="4"/>
        <v>0</v>
      </c>
      <c r="M13" s="821">
        <f t="shared" si="4"/>
        <v>0</v>
      </c>
      <c r="N13" s="821">
        <f t="shared" si="4"/>
        <v>0</v>
      </c>
      <c r="O13" s="821">
        <f t="shared" si="4"/>
        <v>0</v>
      </c>
      <c r="P13" s="456"/>
      <c r="Q13" s="456"/>
    </row>
    <row r="14" spans="1:17" ht="21" customHeight="1">
      <c r="A14" s="508" t="s">
        <v>1</v>
      </c>
      <c r="B14" s="394" t="s">
        <v>133</v>
      </c>
      <c r="C14" s="1139">
        <f t="shared" si="0"/>
        <v>7610788</v>
      </c>
      <c r="D14" s="821">
        <f>D42+D66+D89+D113+D137+D160+D183+D206</f>
        <v>0</v>
      </c>
      <c r="E14" s="1154">
        <f t="shared" si="2"/>
        <v>47000</v>
      </c>
      <c r="F14" s="821">
        <f t="shared" si="4"/>
        <v>0</v>
      </c>
      <c r="G14" s="821">
        <f t="shared" si="4"/>
        <v>47000</v>
      </c>
      <c r="H14" s="821">
        <f t="shared" si="4"/>
        <v>0</v>
      </c>
      <c r="I14" s="821">
        <f t="shared" si="4"/>
        <v>108500</v>
      </c>
      <c r="J14" s="821">
        <f t="shared" si="4"/>
        <v>7455288</v>
      </c>
      <c r="K14" s="821">
        <f t="shared" si="4"/>
        <v>0</v>
      </c>
      <c r="L14" s="821">
        <f t="shared" si="4"/>
        <v>0</v>
      </c>
      <c r="M14" s="821">
        <f t="shared" si="4"/>
        <v>0</v>
      </c>
      <c r="N14" s="821">
        <f t="shared" si="4"/>
        <v>0</v>
      </c>
      <c r="O14" s="821">
        <f t="shared" si="4"/>
        <v>0</v>
      </c>
      <c r="P14" s="456"/>
      <c r="Q14" s="456"/>
    </row>
    <row r="15" spans="1:17" ht="21" customHeight="1">
      <c r="A15" s="508" t="s">
        <v>9</v>
      </c>
      <c r="B15" s="394" t="s">
        <v>134</v>
      </c>
      <c r="C15" s="1139">
        <f t="shared" si="0"/>
        <v>0</v>
      </c>
      <c r="D15" s="1154">
        <f>D43+D67+D90+D114+D138+D161+D184+D207</f>
        <v>0</v>
      </c>
      <c r="E15" s="1154">
        <f t="shared" si="2"/>
        <v>0</v>
      </c>
      <c r="F15" s="821">
        <f t="shared" si="4"/>
        <v>0</v>
      </c>
      <c r="G15" s="1154"/>
      <c r="H15" s="1154">
        <f aca="true" t="shared" si="5" ref="H15:O15">H43+H67+H90+H114+H138+H161+H184+H207</f>
        <v>0</v>
      </c>
      <c r="I15" s="1154">
        <f t="shared" si="5"/>
        <v>0</v>
      </c>
      <c r="J15" s="1154">
        <f t="shared" si="5"/>
        <v>0</v>
      </c>
      <c r="K15" s="1154">
        <f t="shared" si="5"/>
        <v>0</v>
      </c>
      <c r="L15" s="1154">
        <f t="shared" si="5"/>
        <v>0</v>
      </c>
      <c r="M15" s="1154">
        <f t="shared" si="5"/>
        <v>0</v>
      </c>
      <c r="N15" s="1154">
        <f t="shared" si="5"/>
        <v>0</v>
      </c>
      <c r="O15" s="1154">
        <f t="shared" si="5"/>
        <v>0</v>
      </c>
      <c r="P15" s="456"/>
      <c r="Q15" s="456"/>
    </row>
    <row r="16" spans="1:17" ht="21" customHeight="1">
      <c r="A16" s="508" t="s">
        <v>135</v>
      </c>
      <c r="B16" s="394" t="s">
        <v>136</v>
      </c>
      <c r="C16" s="1142">
        <f t="shared" si="0"/>
        <v>95269398</v>
      </c>
      <c r="D16" s="1142">
        <f>D11-SUM(D14,D15)</f>
        <v>77555173</v>
      </c>
      <c r="E16" s="1141">
        <f t="shared" si="2"/>
        <v>10516549</v>
      </c>
      <c r="F16" s="1142">
        <f aca="true" t="shared" si="6" ref="F16:O16">F11-SUM(F14,F15)</f>
        <v>0</v>
      </c>
      <c r="G16" s="1142">
        <f>G11-SUM(G14)</f>
        <v>10516549</v>
      </c>
      <c r="H16" s="1142">
        <f t="shared" si="6"/>
        <v>0</v>
      </c>
      <c r="I16" s="1142">
        <f t="shared" si="6"/>
        <v>2618401</v>
      </c>
      <c r="J16" s="1142">
        <f t="shared" si="6"/>
        <v>4483304</v>
      </c>
      <c r="K16" s="1142">
        <f t="shared" si="6"/>
        <v>57471</v>
      </c>
      <c r="L16" s="1142">
        <f t="shared" si="6"/>
        <v>0</v>
      </c>
      <c r="M16" s="1142">
        <f t="shared" si="6"/>
        <v>0</v>
      </c>
      <c r="N16" s="1142">
        <f t="shared" si="6"/>
        <v>0</v>
      </c>
      <c r="O16" s="1142">
        <f t="shared" si="6"/>
        <v>38500</v>
      </c>
      <c r="P16" s="458"/>
      <c r="Q16" s="453"/>
    </row>
    <row r="17" spans="1:17" ht="21" customHeight="1">
      <c r="A17" s="508" t="s">
        <v>51</v>
      </c>
      <c r="B17" s="430" t="s">
        <v>137</v>
      </c>
      <c r="C17" s="1142">
        <f t="shared" si="0"/>
        <v>41640603</v>
      </c>
      <c r="D17" s="1143">
        <f aca="true" t="shared" si="7" ref="D17:O17">SUM(D18:D24)</f>
        <v>34038847</v>
      </c>
      <c r="E17" s="1141">
        <f t="shared" si="2"/>
        <v>1687746</v>
      </c>
      <c r="F17" s="1143">
        <f t="shared" si="7"/>
        <v>0</v>
      </c>
      <c r="G17" s="1143">
        <f t="shared" si="7"/>
        <v>1687746</v>
      </c>
      <c r="H17" s="1143">
        <f t="shared" si="7"/>
        <v>0</v>
      </c>
      <c r="I17" s="1143">
        <f t="shared" si="7"/>
        <v>1934196</v>
      </c>
      <c r="J17" s="1143">
        <f t="shared" si="7"/>
        <v>3941314</v>
      </c>
      <c r="K17" s="1143">
        <f t="shared" si="7"/>
        <v>0</v>
      </c>
      <c r="L17" s="1143">
        <f t="shared" si="7"/>
        <v>0</v>
      </c>
      <c r="M17" s="1143">
        <f t="shared" si="7"/>
        <v>0</v>
      </c>
      <c r="N17" s="1143">
        <f t="shared" si="7"/>
        <v>0</v>
      </c>
      <c r="O17" s="1143">
        <f t="shared" si="7"/>
        <v>38500</v>
      </c>
      <c r="P17" s="458"/>
      <c r="Q17" s="453"/>
    </row>
    <row r="18" spans="1:17" ht="21" customHeight="1">
      <c r="A18" s="507" t="s">
        <v>53</v>
      </c>
      <c r="B18" s="429" t="s">
        <v>138</v>
      </c>
      <c r="C18" s="1139">
        <f>SUM(C46+C70+C93+C117+C141+C164+C187+C210)</f>
        <v>6447854</v>
      </c>
      <c r="D18" s="821">
        <f>D46+D70+D93+D117+D141+D164+D187+D210</f>
        <v>2818573</v>
      </c>
      <c r="E18" s="1154">
        <f t="shared" si="2"/>
        <v>464974</v>
      </c>
      <c r="F18" s="821">
        <f>F46+F70+F93+F117+F141+F164+F187+F210</f>
        <v>0</v>
      </c>
      <c r="G18" s="821">
        <f aca="true" t="shared" si="8" ref="G18:O18">G46+G70+G93+G117+G141+G164+G187+G210</f>
        <v>464974</v>
      </c>
      <c r="H18" s="821">
        <f t="shared" si="8"/>
        <v>0</v>
      </c>
      <c r="I18" s="821">
        <f t="shared" si="8"/>
        <v>817307</v>
      </c>
      <c r="J18" s="821">
        <f t="shared" si="8"/>
        <v>2347000</v>
      </c>
      <c r="K18" s="821">
        <f t="shared" si="8"/>
        <v>0</v>
      </c>
      <c r="L18" s="821">
        <f t="shared" si="8"/>
        <v>0</v>
      </c>
      <c r="M18" s="821">
        <f t="shared" si="8"/>
        <v>0</v>
      </c>
      <c r="N18" s="821">
        <f t="shared" si="8"/>
        <v>0</v>
      </c>
      <c r="O18" s="821">
        <f t="shared" si="8"/>
        <v>0</v>
      </c>
      <c r="P18" s="456"/>
      <c r="Q18" s="414"/>
    </row>
    <row r="19" spans="1:17" ht="21" customHeight="1">
      <c r="A19" s="507" t="s">
        <v>54</v>
      </c>
      <c r="B19" s="429" t="s">
        <v>139</v>
      </c>
      <c r="C19" s="1139">
        <f aca="true" t="shared" si="9" ref="C19:C24">SUM(C47+C71+C94+C118+C142+C165+C188+C211)</f>
        <v>1427903</v>
      </c>
      <c r="D19" s="821">
        <f aca="true" t="shared" si="10" ref="D19:D24">D47+D71+D94+D118+D142+D165+D188+D211</f>
        <v>699213</v>
      </c>
      <c r="E19" s="1154">
        <f t="shared" si="2"/>
        <v>50698</v>
      </c>
      <c r="F19" s="821">
        <f aca="true" t="shared" si="11" ref="F19:O24">F47+F71+F94+F118+F142+F165+F188+F211</f>
        <v>0</v>
      </c>
      <c r="G19" s="821">
        <f t="shared" si="11"/>
        <v>50698</v>
      </c>
      <c r="H19" s="821">
        <f t="shared" si="11"/>
        <v>0</v>
      </c>
      <c r="I19" s="821">
        <f t="shared" si="11"/>
        <v>1</v>
      </c>
      <c r="J19" s="821">
        <f t="shared" si="11"/>
        <v>677991</v>
      </c>
      <c r="K19" s="821">
        <f t="shared" si="11"/>
        <v>0</v>
      </c>
      <c r="L19" s="821">
        <f t="shared" si="11"/>
        <v>0</v>
      </c>
      <c r="M19" s="821">
        <f t="shared" si="11"/>
        <v>0</v>
      </c>
      <c r="N19" s="821">
        <f t="shared" si="11"/>
        <v>0</v>
      </c>
      <c r="O19" s="821">
        <f t="shared" si="11"/>
        <v>0</v>
      </c>
      <c r="P19" s="456"/>
      <c r="Q19" s="414"/>
    </row>
    <row r="20" spans="1:17" ht="21" customHeight="1">
      <c r="A20" s="507" t="s">
        <v>140</v>
      </c>
      <c r="B20" s="429" t="s">
        <v>141</v>
      </c>
      <c r="C20" s="1139">
        <f t="shared" si="9"/>
        <v>17424406</v>
      </c>
      <c r="D20" s="821">
        <f t="shared" si="10"/>
        <v>14217238</v>
      </c>
      <c r="E20" s="1154">
        <f t="shared" si="2"/>
        <v>1135458</v>
      </c>
      <c r="F20" s="821">
        <f t="shared" si="11"/>
        <v>0</v>
      </c>
      <c r="G20" s="821">
        <f t="shared" si="11"/>
        <v>1135458</v>
      </c>
      <c r="H20" s="821">
        <f t="shared" si="11"/>
        <v>0</v>
      </c>
      <c r="I20" s="821">
        <f t="shared" si="11"/>
        <v>1116887</v>
      </c>
      <c r="J20" s="821">
        <f t="shared" si="11"/>
        <v>916323</v>
      </c>
      <c r="K20" s="821">
        <f t="shared" si="11"/>
        <v>0</v>
      </c>
      <c r="L20" s="821">
        <f t="shared" si="11"/>
        <v>0</v>
      </c>
      <c r="M20" s="821">
        <f t="shared" si="11"/>
        <v>0</v>
      </c>
      <c r="N20" s="821">
        <f t="shared" si="11"/>
        <v>0</v>
      </c>
      <c r="O20" s="821">
        <f t="shared" si="11"/>
        <v>38500</v>
      </c>
      <c r="P20" s="456"/>
      <c r="Q20" s="414"/>
    </row>
    <row r="21" spans="1:17" ht="21" customHeight="1">
      <c r="A21" s="507" t="s">
        <v>142</v>
      </c>
      <c r="B21" s="429" t="s">
        <v>143</v>
      </c>
      <c r="C21" s="1139">
        <f t="shared" si="9"/>
        <v>16028084</v>
      </c>
      <c r="D21" s="821">
        <f t="shared" si="10"/>
        <v>16028083</v>
      </c>
      <c r="E21" s="1145">
        <f t="shared" si="2"/>
        <v>0</v>
      </c>
      <c r="F21" s="821">
        <f t="shared" si="11"/>
        <v>0</v>
      </c>
      <c r="G21" s="821">
        <f t="shared" si="11"/>
        <v>0</v>
      </c>
      <c r="H21" s="821">
        <f t="shared" si="11"/>
        <v>0</v>
      </c>
      <c r="I21" s="821">
        <f t="shared" si="11"/>
        <v>1</v>
      </c>
      <c r="J21" s="821">
        <f t="shared" si="11"/>
        <v>0</v>
      </c>
      <c r="K21" s="821">
        <f t="shared" si="11"/>
        <v>0</v>
      </c>
      <c r="L21" s="821">
        <f t="shared" si="11"/>
        <v>0</v>
      </c>
      <c r="M21" s="821">
        <f t="shared" si="11"/>
        <v>0</v>
      </c>
      <c r="N21" s="821">
        <f t="shared" si="11"/>
        <v>0</v>
      </c>
      <c r="O21" s="821">
        <f t="shared" si="11"/>
        <v>0</v>
      </c>
      <c r="P21" s="456"/>
      <c r="Q21" s="414"/>
    </row>
    <row r="22" spans="1:17" ht="21" customHeight="1">
      <c r="A22" s="507" t="s">
        <v>144</v>
      </c>
      <c r="B22" s="429" t="s">
        <v>145</v>
      </c>
      <c r="C22" s="1139">
        <f t="shared" si="9"/>
        <v>0</v>
      </c>
      <c r="D22" s="821">
        <f t="shared" si="10"/>
        <v>0</v>
      </c>
      <c r="E22" s="1145">
        <f t="shared" si="2"/>
        <v>0</v>
      </c>
      <c r="F22" s="821">
        <f t="shared" si="11"/>
        <v>0</v>
      </c>
      <c r="G22" s="821">
        <f t="shared" si="11"/>
        <v>0</v>
      </c>
      <c r="H22" s="821">
        <f t="shared" si="11"/>
        <v>0</v>
      </c>
      <c r="I22" s="821">
        <f t="shared" si="11"/>
        <v>0</v>
      </c>
      <c r="J22" s="821">
        <f t="shared" si="11"/>
        <v>0</v>
      </c>
      <c r="K22" s="821">
        <f t="shared" si="11"/>
        <v>0</v>
      </c>
      <c r="L22" s="821">
        <f t="shared" si="11"/>
        <v>0</v>
      </c>
      <c r="M22" s="821">
        <f t="shared" si="11"/>
        <v>0</v>
      </c>
      <c r="N22" s="821">
        <f t="shared" si="11"/>
        <v>0</v>
      </c>
      <c r="O22" s="821">
        <f t="shared" si="11"/>
        <v>0</v>
      </c>
      <c r="P22" s="456"/>
      <c r="Q22" s="414"/>
    </row>
    <row r="23" spans="1:17" ht="21" customHeight="1">
      <c r="A23" s="507" t="s">
        <v>146</v>
      </c>
      <c r="B23" s="431" t="s">
        <v>147</v>
      </c>
      <c r="C23" s="1139">
        <f t="shared" si="9"/>
        <v>0</v>
      </c>
      <c r="D23" s="821">
        <f t="shared" si="10"/>
        <v>0</v>
      </c>
      <c r="E23" s="1145">
        <f>SUM(F23:G23)</f>
        <v>0</v>
      </c>
      <c r="F23" s="821">
        <f t="shared" si="11"/>
        <v>0</v>
      </c>
      <c r="G23" s="821">
        <f t="shared" si="11"/>
        <v>0</v>
      </c>
      <c r="H23" s="821">
        <f t="shared" si="11"/>
        <v>0</v>
      </c>
      <c r="I23" s="821">
        <f t="shared" si="11"/>
        <v>0</v>
      </c>
      <c r="J23" s="821">
        <f t="shared" si="11"/>
        <v>0</v>
      </c>
      <c r="K23" s="821">
        <f t="shared" si="11"/>
        <v>0</v>
      </c>
      <c r="L23" s="821">
        <f t="shared" si="11"/>
        <v>0</v>
      </c>
      <c r="M23" s="821">
        <f t="shared" si="11"/>
        <v>0</v>
      </c>
      <c r="N23" s="821">
        <f t="shared" si="11"/>
        <v>0</v>
      </c>
      <c r="O23" s="821">
        <f t="shared" si="11"/>
        <v>0</v>
      </c>
      <c r="P23" s="456"/>
      <c r="Q23" s="414"/>
    </row>
    <row r="24" spans="1:17" ht="24" customHeight="1">
      <c r="A24" s="507" t="s">
        <v>148</v>
      </c>
      <c r="B24" s="429" t="s">
        <v>149</v>
      </c>
      <c r="C24" s="1139">
        <f t="shared" si="9"/>
        <v>312356</v>
      </c>
      <c r="D24" s="821">
        <f t="shared" si="10"/>
        <v>275740</v>
      </c>
      <c r="E24" s="1145">
        <f t="shared" si="2"/>
        <v>36616</v>
      </c>
      <c r="F24" s="821">
        <f t="shared" si="11"/>
        <v>0</v>
      </c>
      <c r="G24" s="821">
        <f t="shared" si="11"/>
        <v>36616</v>
      </c>
      <c r="H24" s="821">
        <f t="shared" si="11"/>
        <v>0</v>
      </c>
      <c r="I24" s="821">
        <f t="shared" si="11"/>
        <v>0</v>
      </c>
      <c r="J24" s="821">
        <f t="shared" si="11"/>
        <v>0</v>
      </c>
      <c r="K24" s="821">
        <f t="shared" si="11"/>
        <v>0</v>
      </c>
      <c r="L24" s="821">
        <f t="shared" si="11"/>
        <v>0</v>
      </c>
      <c r="M24" s="821">
        <f t="shared" si="11"/>
        <v>0</v>
      </c>
      <c r="N24" s="821">
        <f t="shared" si="11"/>
        <v>0</v>
      </c>
      <c r="O24" s="821">
        <f t="shared" si="11"/>
        <v>0</v>
      </c>
      <c r="P24" s="456"/>
      <c r="Q24" s="414"/>
    </row>
    <row r="25" spans="1:17" ht="18" customHeight="1">
      <c r="A25" s="508" t="s">
        <v>52</v>
      </c>
      <c r="B25" s="394" t="s">
        <v>150</v>
      </c>
      <c r="C25" s="1142">
        <f>C16-C17</f>
        <v>53628795</v>
      </c>
      <c r="D25" s="1142">
        <f>D16-D17</f>
        <v>43516326</v>
      </c>
      <c r="E25" s="1142">
        <f aca="true" t="shared" si="12" ref="E25:O25">E16-E17</f>
        <v>8828803</v>
      </c>
      <c r="F25" s="1142">
        <f t="shared" si="12"/>
        <v>0</v>
      </c>
      <c r="G25" s="1142">
        <f t="shared" si="12"/>
        <v>8828803</v>
      </c>
      <c r="H25" s="1142">
        <f t="shared" si="12"/>
        <v>0</v>
      </c>
      <c r="I25" s="1142">
        <f t="shared" si="12"/>
        <v>684205</v>
      </c>
      <c r="J25" s="1142">
        <f t="shared" si="12"/>
        <v>541990</v>
      </c>
      <c r="K25" s="1142">
        <f t="shared" si="12"/>
        <v>57471</v>
      </c>
      <c r="L25" s="1142">
        <f t="shared" si="12"/>
        <v>0</v>
      </c>
      <c r="M25" s="1142">
        <f t="shared" si="12"/>
        <v>0</v>
      </c>
      <c r="N25" s="1142">
        <f t="shared" si="12"/>
        <v>0</v>
      </c>
      <c r="O25" s="1142">
        <f t="shared" si="12"/>
        <v>0</v>
      </c>
      <c r="P25" s="456"/>
      <c r="Q25" s="414"/>
    </row>
    <row r="26" spans="1:17" ht="27" customHeight="1">
      <c r="A26" s="534" t="s">
        <v>538</v>
      </c>
      <c r="B26" s="470" t="s">
        <v>151</v>
      </c>
      <c r="C26" s="532">
        <f>(C18+C19)/C17</f>
        <v>0.1891364781629123</v>
      </c>
      <c r="D26" s="532">
        <f aca="true" t="shared" si="13" ref="D26:O26">(D18+D19)/D17</f>
        <v>0.10334621498783435</v>
      </c>
      <c r="E26" s="532">
        <f t="shared" si="13"/>
        <v>0.3055388666304053</v>
      </c>
      <c r="F26" s="532" t="e">
        <f t="shared" si="13"/>
        <v>#DIV/0!</v>
      </c>
      <c r="G26" s="532">
        <f t="shared" si="13"/>
        <v>0.3055388666304053</v>
      </c>
      <c r="H26" s="532" t="e">
        <f t="shared" si="13"/>
        <v>#DIV/0!</v>
      </c>
      <c r="I26" s="532">
        <f t="shared" si="13"/>
        <v>0.4225569694074437</v>
      </c>
      <c r="J26" s="532">
        <f t="shared" si="13"/>
        <v>0.7675082472495214</v>
      </c>
      <c r="K26" s="532" t="e">
        <f t="shared" si="13"/>
        <v>#DIV/0!</v>
      </c>
      <c r="L26" s="533" t="e">
        <f t="shared" si="13"/>
        <v>#DIV/0!</v>
      </c>
      <c r="M26" s="533" t="e">
        <f t="shared" si="13"/>
        <v>#DIV/0!</v>
      </c>
      <c r="N26" s="533" t="e">
        <f t="shared" si="13"/>
        <v>#DIV/0!</v>
      </c>
      <c r="O26" s="532">
        <f t="shared" si="13"/>
        <v>0</v>
      </c>
      <c r="P26" s="456"/>
      <c r="Q26" s="414"/>
    </row>
    <row r="27" ht="29.25" customHeight="1"/>
    <row r="28" ht="12.75" customHeight="1"/>
    <row r="29" ht="43.5" customHeight="1" hidden="1"/>
    <row r="30" ht="24.75" customHeight="1" hidden="1"/>
    <row r="31" ht="24.75" customHeight="1" hidden="1"/>
    <row r="32" ht="13.5" customHeight="1" hidden="1"/>
    <row r="33" ht="0.75" customHeight="1" hidden="1">
      <c r="B33" s="861" t="s">
        <v>741</v>
      </c>
    </row>
    <row r="34" spans="1:15" ht="15" customHeight="1" hidden="1">
      <c r="A34" s="1573" t="s">
        <v>68</v>
      </c>
      <c r="B34" s="1574"/>
      <c r="C34" s="1582" t="s">
        <v>37</v>
      </c>
      <c r="D34" s="1582" t="s">
        <v>335</v>
      </c>
      <c r="E34" s="1583"/>
      <c r="F34" s="1583"/>
      <c r="G34" s="1583"/>
      <c r="H34" s="1583"/>
      <c r="I34" s="1583"/>
      <c r="J34" s="1583"/>
      <c r="K34" s="1583"/>
      <c r="L34" s="1583"/>
      <c r="M34" s="1583"/>
      <c r="N34" s="1583"/>
      <c r="O34" s="1584"/>
    </row>
    <row r="35" spans="1:15" ht="15" customHeight="1" hidden="1">
      <c r="A35" s="1575"/>
      <c r="B35" s="1576"/>
      <c r="C35" s="1596"/>
      <c r="D35" s="1586" t="s">
        <v>119</v>
      </c>
      <c r="E35" s="1593" t="s">
        <v>120</v>
      </c>
      <c r="F35" s="1594"/>
      <c r="G35" s="1595"/>
      <c r="H35" s="1569" t="s">
        <v>121</v>
      </c>
      <c r="I35" s="1569" t="s">
        <v>122</v>
      </c>
      <c r="J35" s="1569" t="s">
        <v>198</v>
      </c>
      <c r="K35" s="1569" t="s">
        <v>124</v>
      </c>
      <c r="L35" s="1569" t="s">
        <v>125</v>
      </c>
      <c r="M35" s="1569" t="s">
        <v>126</v>
      </c>
      <c r="N35" s="1569" t="s">
        <v>183</v>
      </c>
      <c r="O35" s="1569" t="s">
        <v>127</v>
      </c>
    </row>
    <row r="36" spans="1:15" ht="15" hidden="1">
      <c r="A36" s="1575"/>
      <c r="B36" s="1576"/>
      <c r="C36" s="1596"/>
      <c r="D36" s="1586"/>
      <c r="E36" s="1568" t="s">
        <v>36</v>
      </c>
      <c r="F36" s="1571" t="s">
        <v>7</v>
      </c>
      <c r="G36" s="1572"/>
      <c r="H36" s="1569"/>
      <c r="I36" s="1569"/>
      <c r="J36" s="1569"/>
      <c r="K36" s="1569"/>
      <c r="L36" s="1569"/>
      <c r="M36" s="1569"/>
      <c r="N36" s="1569"/>
      <c r="O36" s="1569"/>
    </row>
    <row r="37" spans="1:15" ht="15" hidden="1">
      <c r="A37" s="1577"/>
      <c r="B37" s="1578"/>
      <c r="C37" s="1596"/>
      <c r="D37" s="1587"/>
      <c r="E37" s="1570"/>
      <c r="F37" s="559" t="s">
        <v>199</v>
      </c>
      <c r="G37" s="560" t="s">
        <v>200</v>
      </c>
      <c r="H37" s="1570"/>
      <c r="I37" s="1570"/>
      <c r="J37" s="1570"/>
      <c r="K37" s="1570"/>
      <c r="L37" s="1570"/>
      <c r="M37" s="1570"/>
      <c r="N37" s="1570"/>
      <c r="O37" s="1570"/>
    </row>
    <row r="38" spans="1:15" ht="15" customHeight="1" hidden="1">
      <c r="A38" s="1566" t="s">
        <v>39</v>
      </c>
      <c r="B38" s="1567"/>
      <c r="C38" s="505">
        <v>1</v>
      </c>
      <c r="D38" s="505">
        <v>2</v>
      </c>
      <c r="E38" s="505">
        <v>3</v>
      </c>
      <c r="F38" s="505">
        <v>4</v>
      </c>
      <c r="G38" s="505">
        <v>5</v>
      </c>
      <c r="H38" s="505">
        <v>6</v>
      </c>
      <c r="I38" s="505">
        <v>7</v>
      </c>
      <c r="J38" s="505">
        <v>8</v>
      </c>
      <c r="K38" s="505">
        <v>9</v>
      </c>
      <c r="L38" s="505">
        <v>10</v>
      </c>
      <c r="M38" s="505">
        <v>11</v>
      </c>
      <c r="N38" s="505">
        <v>12</v>
      </c>
      <c r="O38" s="505">
        <v>13</v>
      </c>
    </row>
    <row r="39" spans="1:15" ht="15" hidden="1">
      <c r="A39" s="506" t="s">
        <v>0</v>
      </c>
      <c r="B39" s="427" t="s">
        <v>130</v>
      </c>
      <c r="C39" s="791">
        <f aca="true" t="shared" si="14" ref="C39:C52">SUM(D39,E39,H39:O39)</f>
        <v>8959309</v>
      </c>
      <c r="D39" s="799">
        <f>SUM(D40:D41)</f>
        <v>3009807</v>
      </c>
      <c r="E39" s="799">
        <f aca="true" t="shared" si="15" ref="E39:J39">SUM(E40:E41)</f>
        <v>5827030</v>
      </c>
      <c r="F39" s="799">
        <f t="shared" si="15"/>
        <v>0</v>
      </c>
      <c r="G39" s="799">
        <f t="shared" si="15"/>
        <v>5827030</v>
      </c>
      <c r="H39" s="799">
        <f t="shared" si="15"/>
        <v>0</v>
      </c>
      <c r="I39" s="799">
        <f t="shared" si="15"/>
        <v>0</v>
      </c>
      <c r="J39" s="799">
        <f t="shared" si="15"/>
        <v>122472</v>
      </c>
      <c r="K39" s="799">
        <f>SUM(K40:K41)</f>
        <v>0</v>
      </c>
      <c r="L39" s="799">
        <f>SUM(L40:L41)</f>
        <v>0</v>
      </c>
      <c r="M39" s="799">
        <f>SUM(M40:M41)</f>
        <v>0</v>
      </c>
      <c r="N39" s="799">
        <f>SUM(N40:N41)</f>
        <v>0</v>
      </c>
      <c r="O39" s="799">
        <f>SUM(O40:O41)</f>
        <v>0</v>
      </c>
    </row>
    <row r="40" spans="1:15" ht="15.75" hidden="1">
      <c r="A40" s="507">
        <v>1</v>
      </c>
      <c r="B40" s="429" t="s">
        <v>131</v>
      </c>
      <c r="C40" s="796">
        <f t="shared" si="14"/>
        <v>7467097</v>
      </c>
      <c r="D40" s="806">
        <v>3009807</v>
      </c>
      <c r="E40" s="801">
        <f aca="true" t="shared" si="16" ref="E40:E45">SUM(F40:G40)</f>
        <v>4334818</v>
      </c>
      <c r="F40" s="806">
        <v>0</v>
      </c>
      <c r="G40" s="806">
        <v>4334818</v>
      </c>
      <c r="H40" s="806">
        <v>0</v>
      </c>
      <c r="I40" s="806">
        <v>0</v>
      </c>
      <c r="J40" s="806">
        <v>122472</v>
      </c>
      <c r="K40" s="806">
        <v>0</v>
      </c>
      <c r="L40" s="806">
        <v>0</v>
      </c>
      <c r="M40" s="806">
        <v>0</v>
      </c>
      <c r="N40" s="806">
        <v>0</v>
      </c>
      <c r="O40" s="806">
        <v>0</v>
      </c>
    </row>
    <row r="41" spans="1:15" ht="15.75" hidden="1">
      <c r="A41" s="507">
        <v>2</v>
      </c>
      <c r="B41" s="429" t="s">
        <v>132</v>
      </c>
      <c r="C41" s="796">
        <f t="shared" si="14"/>
        <v>1492212</v>
      </c>
      <c r="D41" s="921"/>
      <c r="E41" s="801">
        <f t="shared" si="16"/>
        <v>1492212</v>
      </c>
      <c r="F41" s="806">
        <v>0</v>
      </c>
      <c r="G41" s="806">
        <v>1492212</v>
      </c>
      <c r="H41" s="806">
        <v>0</v>
      </c>
      <c r="I41" s="806">
        <v>0</v>
      </c>
      <c r="J41" s="806">
        <v>0</v>
      </c>
      <c r="K41" s="806">
        <v>0</v>
      </c>
      <c r="L41" s="806">
        <v>0</v>
      </c>
      <c r="M41" s="806">
        <v>0</v>
      </c>
      <c r="N41" s="806">
        <v>0</v>
      </c>
      <c r="O41" s="806">
        <v>0</v>
      </c>
    </row>
    <row r="42" spans="1:15" ht="15.75" hidden="1">
      <c r="A42" s="508" t="s">
        <v>1</v>
      </c>
      <c r="B42" s="394" t="s">
        <v>133</v>
      </c>
      <c r="C42" s="796">
        <f t="shared" si="14"/>
        <v>0</v>
      </c>
      <c r="D42" s="877"/>
      <c r="E42" s="801">
        <f t="shared" si="16"/>
        <v>0</v>
      </c>
      <c r="F42" s="806"/>
      <c r="G42" s="806"/>
      <c r="H42" s="806"/>
      <c r="I42" s="806"/>
      <c r="J42" s="806"/>
      <c r="K42" s="806"/>
      <c r="L42" s="806"/>
      <c r="M42" s="942"/>
      <c r="N42" s="877"/>
      <c r="O42" s="877"/>
    </row>
    <row r="43" spans="1:15" ht="15" hidden="1">
      <c r="A43" s="508" t="s">
        <v>9</v>
      </c>
      <c r="B43" s="394" t="s">
        <v>134</v>
      </c>
      <c r="C43" s="796">
        <f t="shared" si="14"/>
        <v>0</v>
      </c>
      <c r="D43" s="876"/>
      <c r="E43" s="801">
        <f t="shared" si="16"/>
        <v>0</v>
      </c>
      <c r="F43" s="877"/>
      <c r="G43" s="877"/>
      <c r="H43" s="877"/>
      <c r="I43" s="877"/>
      <c r="J43" s="877"/>
      <c r="K43" s="877"/>
      <c r="L43" s="877"/>
      <c r="M43" s="877"/>
      <c r="N43" s="877"/>
      <c r="O43" s="877"/>
    </row>
    <row r="44" spans="1:15" ht="15" hidden="1">
      <c r="A44" s="508" t="s">
        <v>135</v>
      </c>
      <c r="B44" s="394" t="s">
        <v>136</v>
      </c>
      <c r="C44" s="791">
        <f t="shared" si="14"/>
        <v>8959309</v>
      </c>
      <c r="D44" s="792">
        <f>D39-SUM(D42,D43)</f>
        <v>3009807</v>
      </c>
      <c r="E44" s="799">
        <f t="shared" si="16"/>
        <v>5827030</v>
      </c>
      <c r="F44" s="792">
        <f aca="true" t="shared" si="17" ref="F44:O44">F39-SUM(F42,F43)</f>
        <v>0</v>
      </c>
      <c r="G44" s="792">
        <f t="shared" si="17"/>
        <v>5827030</v>
      </c>
      <c r="H44" s="792">
        <f t="shared" si="17"/>
        <v>0</v>
      </c>
      <c r="I44" s="792">
        <f t="shared" si="17"/>
        <v>0</v>
      </c>
      <c r="J44" s="792">
        <f t="shared" si="17"/>
        <v>122472</v>
      </c>
      <c r="K44" s="792">
        <f t="shared" si="17"/>
        <v>0</v>
      </c>
      <c r="L44" s="792">
        <f t="shared" si="17"/>
        <v>0</v>
      </c>
      <c r="M44" s="792">
        <f t="shared" si="17"/>
        <v>0</v>
      </c>
      <c r="N44" s="792">
        <f t="shared" si="17"/>
        <v>0</v>
      </c>
      <c r="O44" s="792">
        <f t="shared" si="17"/>
        <v>0</v>
      </c>
    </row>
    <row r="45" spans="1:15" ht="15" hidden="1">
      <c r="A45" s="508" t="s">
        <v>51</v>
      </c>
      <c r="B45" s="430" t="s">
        <v>137</v>
      </c>
      <c r="C45" s="791">
        <f t="shared" si="14"/>
        <v>1025244</v>
      </c>
      <c r="D45" s="792">
        <f>SUM(D46:D52)</f>
        <v>0</v>
      </c>
      <c r="E45" s="792">
        <f t="shared" si="16"/>
        <v>1016875</v>
      </c>
      <c r="F45" s="792">
        <f aca="true" t="shared" si="18" ref="F45:O45">SUM(F46:F52)</f>
        <v>0</v>
      </c>
      <c r="G45" s="792">
        <f t="shared" si="18"/>
        <v>1016875</v>
      </c>
      <c r="H45" s="792">
        <f t="shared" si="18"/>
        <v>0</v>
      </c>
      <c r="I45" s="792">
        <f t="shared" si="18"/>
        <v>0</v>
      </c>
      <c r="J45" s="792">
        <f t="shared" si="18"/>
        <v>8369</v>
      </c>
      <c r="K45" s="792">
        <f t="shared" si="18"/>
        <v>0</v>
      </c>
      <c r="L45" s="792">
        <f t="shared" si="18"/>
        <v>0</v>
      </c>
      <c r="M45" s="792">
        <f t="shared" si="18"/>
        <v>0</v>
      </c>
      <c r="N45" s="792">
        <f t="shared" si="18"/>
        <v>0</v>
      </c>
      <c r="O45" s="792">
        <f t="shared" si="18"/>
        <v>0</v>
      </c>
    </row>
    <row r="46" spans="1:15" ht="15.75" hidden="1">
      <c r="A46" s="507" t="s">
        <v>53</v>
      </c>
      <c r="B46" s="429" t="s">
        <v>138</v>
      </c>
      <c r="C46" s="796">
        <f t="shared" si="14"/>
        <v>74020</v>
      </c>
      <c r="D46" s="803"/>
      <c r="E46" s="949">
        <f>F46+G46</f>
        <v>73020</v>
      </c>
      <c r="F46" s="806">
        <v>0</v>
      </c>
      <c r="G46" s="806">
        <v>73020</v>
      </c>
      <c r="H46" s="806">
        <v>0</v>
      </c>
      <c r="I46" s="806">
        <v>0</v>
      </c>
      <c r="J46" s="806">
        <v>1000</v>
      </c>
      <c r="K46" s="806">
        <v>0</v>
      </c>
      <c r="L46" s="806">
        <v>0</v>
      </c>
      <c r="M46" s="806">
        <v>0</v>
      </c>
      <c r="N46" s="806">
        <v>0</v>
      </c>
      <c r="O46" s="806">
        <v>0</v>
      </c>
    </row>
    <row r="47" spans="1:15" ht="15.75" hidden="1">
      <c r="A47" s="507" t="s">
        <v>54</v>
      </c>
      <c r="B47" s="429" t="s">
        <v>139</v>
      </c>
      <c r="C47" s="796">
        <f t="shared" si="14"/>
        <v>7369</v>
      </c>
      <c r="D47" s="876"/>
      <c r="E47" s="949">
        <f>F47+G47</f>
        <v>0</v>
      </c>
      <c r="F47" s="806">
        <v>0</v>
      </c>
      <c r="G47" s="806">
        <v>0</v>
      </c>
      <c r="H47" s="806">
        <v>0</v>
      </c>
      <c r="I47" s="806">
        <v>0</v>
      </c>
      <c r="J47" s="806">
        <v>7369</v>
      </c>
      <c r="K47" s="806">
        <v>0</v>
      </c>
      <c r="L47" s="806">
        <v>0</v>
      </c>
      <c r="M47" s="806">
        <v>0</v>
      </c>
      <c r="N47" s="806">
        <v>0</v>
      </c>
      <c r="O47" s="806">
        <v>0</v>
      </c>
    </row>
    <row r="48" spans="1:15" ht="15" customHeight="1" hidden="1">
      <c r="A48" s="507" t="s">
        <v>140</v>
      </c>
      <c r="B48" s="429" t="s">
        <v>141</v>
      </c>
      <c r="C48" s="796">
        <f t="shared" si="14"/>
        <v>943855</v>
      </c>
      <c r="D48" s="876"/>
      <c r="E48" s="949">
        <f>F48+G48</f>
        <v>943855</v>
      </c>
      <c r="F48" s="806">
        <v>0</v>
      </c>
      <c r="G48" s="806">
        <v>943855</v>
      </c>
      <c r="H48" s="806">
        <v>0</v>
      </c>
      <c r="I48" s="806">
        <v>0</v>
      </c>
      <c r="J48" s="806">
        <v>0</v>
      </c>
      <c r="K48" s="806">
        <v>0</v>
      </c>
      <c r="L48" s="806">
        <v>0</v>
      </c>
      <c r="M48" s="806">
        <v>0</v>
      </c>
      <c r="N48" s="806">
        <v>0</v>
      </c>
      <c r="O48" s="806">
        <v>0</v>
      </c>
    </row>
    <row r="49" spans="1:15" ht="15.75" hidden="1">
      <c r="A49" s="507" t="s">
        <v>142</v>
      </c>
      <c r="B49" s="429" t="s">
        <v>143</v>
      </c>
      <c r="C49" s="796">
        <f t="shared" si="14"/>
        <v>0</v>
      </c>
      <c r="D49" s="876"/>
      <c r="E49" s="949">
        <f>F49+G49</f>
        <v>0</v>
      </c>
      <c r="F49" s="806">
        <v>0</v>
      </c>
      <c r="G49" s="806">
        <v>0</v>
      </c>
      <c r="H49" s="806">
        <v>0</v>
      </c>
      <c r="I49" s="806">
        <v>0</v>
      </c>
      <c r="J49" s="806">
        <v>0</v>
      </c>
      <c r="K49" s="806">
        <v>0</v>
      </c>
      <c r="L49" s="806">
        <v>0</v>
      </c>
      <c r="M49" s="877"/>
      <c r="N49" s="877"/>
      <c r="O49" s="877"/>
    </row>
    <row r="50" spans="1:15" ht="21" customHeight="1" hidden="1">
      <c r="A50" s="507" t="s">
        <v>144</v>
      </c>
      <c r="B50" s="429" t="s">
        <v>145</v>
      </c>
      <c r="C50" s="796">
        <f t="shared" si="14"/>
        <v>0</v>
      </c>
      <c r="D50" s="876"/>
      <c r="E50" s="949">
        <f>F50+G50</f>
        <v>0</v>
      </c>
      <c r="F50" s="876"/>
      <c r="G50" s="876"/>
      <c r="H50" s="876"/>
      <c r="I50" s="876"/>
      <c r="J50" s="876"/>
      <c r="K50" s="876"/>
      <c r="L50" s="877"/>
      <c r="M50" s="877"/>
      <c r="N50" s="877"/>
      <c r="O50" s="877"/>
    </row>
    <row r="51" spans="1:15" ht="17.25" customHeight="1" hidden="1">
      <c r="A51" s="507" t="s">
        <v>146</v>
      </c>
      <c r="B51" s="431" t="s">
        <v>147</v>
      </c>
      <c r="C51" s="796">
        <f t="shared" si="14"/>
        <v>0</v>
      </c>
      <c r="D51" s="877"/>
      <c r="E51" s="793">
        <f>SUM(F51:G51)</f>
        <v>0</v>
      </c>
      <c r="F51" s="877"/>
      <c r="G51" s="877"/>
      <c r="H51" s="877"/>
      <c r="I51" s="877"/>
      <c r="J51" s="877"/>
      <c r="K51" s="877"/>
      <c r="L51" s="877"/>
      <c r="M51" s="877"/>
      <c r="N51" s="877"/>
      <c r="O51" s="877"/>
    </row>
    <row r="52" spans="1:15" ht="18.75" customHeight="1" hidden="1">
      <c r="A52" s="507" t="s">
        <v>148</v>
      </c>
      <c r="B52" s="429" t="s">
        <v>149</v>
      </c>
      <c r="C52" s="796">
        <f t="shared" si="14"/>
        <v>0</v>
      </c>
      <c r="D52" s="878"/>
      <c r="E52" s="801">
        <f>SUM(F52:G52)</f>
        <v>0</v>
      </c>
      <c r="F52" s="878"/>
      <c r="G52" s="878"/>
      <c r="H52" s="878"/>
      <c r="I52" s="878"/>
      <c r="J52" s="878"/>
      <c r="K52" s="878"/>
      <c r="L52" s="878"/>
      <c r="M52" s="878"/>
      <c r="N52" s="877"/>
      <c r="O52" s="877"/>
    </row>
    <row r="53" spans="1:15" ht="15" hidden="1">
      <c r="A53" s="508" t="s">
        <v>52</v>
      </c>
      <c r="B53" s="394" t="s">
        <v>150</v>
      </c>
      <c r="C53" s="807">
        <f>C39-C42-C43-C45</f>
        <v>7934065</v>
      </c>
      <c r="D53" s="807">
        <f>D44-D45</f>
        <v>3009807</v>
      </c>
      <c r="E53" s="807">
        <f aca="true" t="shared" si="19" ref="E53:O53">E44-E45</f>
        <v>4810155</v>
      </c>
      <c r="F53" s="807">
        <f t="shared" si="19"/>
        <v>0</v>
      </c>
      <c r="G53" s="807">
        <f t="shared" si="19"/>
        <v>4810155</v>
      </c>
      <c r="H53" s="807">
        <f t="shared" si="19"/>
        <v>0</v>
      </c>
      <c r="I53" s="807">
        <f t="shared" si="19"/>
        <v>0</v>
      </c>
      <c r="J53" s="807">
        <f t="shared" si="19"/>
        <v>114103</v>
      </c>
      <c r="K53" s="807">
        <f t="shared" si="19"/>
        <v>0</v>
      </c>
      <c r="L53" s="807">
        <f t="shared" si="19"/>
        <v>0</v>
      </c>
      <c r="M53" s="807">
        <f t="shared" si="19"/>
        <v>0</v>
      </c>
      <c r="N53" s="807">
        <f t="shared" si="19"/>
        <v>0</v>
      </c>
      <c r="O53" s="807">
        <f t="shared" si="19"/>
        <v>0</v>
      </c>
    </row>
    <row r="54" spans="1:15" ht="25.5" hidden="1">
      <c r="A54" s="534" t="s">
        <v>538</v>
      </c>
      <c r="B54" s="470" t="s">
        <v>151</v>
      </c>
      <c r="C54" s="532">
        <f>(C46+C47)/C45</f>
        <v>0.0793850049354105</v>
      </c>
      <c r="D54" s="533" t="e">
        <f aca="true" t="shared" si="20" ref="D54:O54">(D46+D47)/D45</f>
        <v>#DIV/0!</v>
      </c>
      <c r="E54" s="532">
        <f t="shared" si="20"/>
        <v>0.07180823601720959</v>
      </c>
      <c r="F54" s="533" t="e">
        <f t="shared" si="20"/>
        <v>#DIV/0!</v>
      </c>
      <c r="G54" s="533">
        <f t="shared" si="20"/>
        <v>0.07180823601720959</v>
      </c>
      <c r="H54" s="533" t="e">
        <f t="shared" si="20"/>
        <v>#DIV/0!</v>
      </c>
      <c r="I54" s="533" t="e">
        <f t="shared" si="20"/>
        <v>#DIV/0!</v>
      </c>
      <c r="J54" s="533">
        <f t="shared" si="20"/>
        <v>1</v>
      </c>
      <c r="K54" s="533" t="e">
        <f t="shared" si="20"/>
        <v>#DIV/0!</v>
      </c>
      <c r="L54" s="533" t="e">
        <f t="shared" si="20"/>
        <v>#DIV/0!</v>
      </c>
      <c r="M54" s="533" t="e">
        <f t="shared" si="20"/>
        <v>#DIV/0!</v>
      </c>
      <c r="N54" s="533" t="e">
        <f t="shared" si="20"/>
        <v>#DIV/0!</v>
      </c>
      <c r="O54" s="533" t="e">
        <f t="shared" si="20"/>
        <v>#DIV/0!</v>
      </c>
    </row>
    <row r="55" ht="15" hidden="1"/>
    <row r="56" ht="12.75" customHeight="1" hidden="1">
      <c r="B56" s="861" t="s">
        <v>742</v>
      </c>
    </row>
    <row r="57" ht="15" hidden="1"/>
    <row r="58" spans="1:15" ht="15" hidden="1">
      <c r="A58" s="1573" t="s">
        <v>68</v>
      </c>
      <c r="B58" s="1574"/>
      <c r="C58" s="1582" t="s">
        <v>37</v>
      </c>
      <c r="D58" s="1582" t="s">
        <v>335</v>
      </c>
      <c r="E58" s="1583"/>
      <c r="F58" s="1583"/>
      <c r="G58" s="1583"/>
      <c r="H58" s="1583"/>
      <c r="I58" s="1583"/>
      <c r="J58" s="1583"/>
      <c r="K58" s="1583"/>
      <c r="L58" s="1583"/>
      <c r="M58" s="1583"/>
      <c r="N58" s="1583"/>
      <c r="O58" s="1584"/>
    </row>
    <row r="59" spans="1:15" ht="0.75" customHeight="1" hidden="1">
      <c r="A59" s="1575"/>
      <c r="B59" s="1576"/>
      <c r="C59" s="1596"/>
      <c r="D59" s="1586" t="s">
        <v>119</v>
      </c>
      <c r="E59" s="1593" t="s">
        <v>120</v>
      </c>
      <c r="F59" s="1594"/>
      <c r="G59" s="1595"/>
      <c r="H59" s="1569" t="s">
        <v>121</v>
      </c>
      <c r="I59" s="1569" t="s">
        <v>122</v>
      </c>
      <c r="J59" s="1569" t="s">
        <v>198</v>
      </c>
      <c r="K59" s="1569" t="s">
        <v>124</v>
      </c>
      <c r="L59" s="1569" t="s">
        <v>125</v>
      </c>
      <c r="M59" s="1569" t="s">
        <v>126</v>
      </c>
      <c r="N59" s="1569" t="s">
        <v>183</v>
      </c>
      <c r="O59" s="1569" t="s">
        <v>127</v>
      </c>
    </row>
    <row r="60" spans="1:15" ht="14.25" customHeight="1" hidden="1">
      <c r="A60" s="1575"/>
      <c r="B60" s="1576"/>
      <c r="C60" s="1596"/>
      <c r="D60" s="1586"/>
      <c r="E60" s="1568" t="s">
        <v>36</v>
      </c>
      <c r="F60" s="1571" t="s">
        <v>7</v>
      </c>
      <c r="G60" s="1572"/>
      <c r="H60" s="1569"/>
      <c r="I60" s="1569"/>
      <c r="J60" s="1569"/>
      <c r="K60" s="1569"/>
      <c r="L60" s="1569"/>
      <c r="M60" s="1569"/>
      <c r="N60" s="1569"/>
      <c r="O60" s="1569"/>
    </row>
    <row r="61" spans="1:15" ht="15" hidden="1">
      <c r="A61" s="1577"/>
      <c r="B61" s="1578"/>
      <c r="C61" s="1596"/>
      <c r="D61" s="1587"/>
      <c r="E61" s="1570"/>
      <c r="F61" s="559" t="s">
        <v>199</v>
      </c>
      <c r="G61" s="560" t="s">
        <v>200</v>
      </c>
      <c r="H61" s="1570"/>
      <c r="I61" s="1570"/>
      <c r="J61" s="1570"/>
      <c r="K61" s="1570"/>
      <c r="L61" s="1570"/>
      <c r="M61" s="1570"/>
      <c r="N61" s="1570"/>
      <c r="O61" s="1570"/>
    </row>
    <row r="62" spans="1:15" ht="15" hidden="1">
      <c r="A62" s="1566" t="s">
        <v>39</v>
      </c>
      <c r="B62" s="1567"/>
      <c r="C62" s="505">
        <v>1</v>
      </c>
      <c r="D62" s="505">
        <v>2</v>
      </c>
      <c r="E62" s="505">
        <v>3</v>
      </c>
      <c r="F62" s="505">
        <v>4</v>
      </c>
      <c r="G62" s="505">
        <v>5</v>
      </c>
      <c r="H62" s="505">
        <v>6</v>
      </c>
      <c r="I62" s="505">
        <v>7</v>
      </c>
      <c r="J62" s="505">
        <v>8</v>
      </c>
      <c r="K62" s="505">
        <v>9</v>
      </c>
      <c r="L62" s="505">
        <v>10</v>
      </c>
      <c r="M62" s="505">
        <v>11</v>
      </c>
      <c r="N62" s="505">
        <v>12</v>
      </c>
      <c r="O62" s="505">
        <v>13</v>
      </c>
    </row>
    <row r="63" spans="1:15" ht="15" hidden="1">
      <c r="A63" s="506" t="s">
        <v>0</v>
      </c>
      <c r="B63" s="427" t="s">
        <v>130</v>
      </c>
      <c r="C63" s="791">
        <f aca="true" t="shared" si="21" ref="C63:C76">SUM(D63,E63,H63:O63)</f>
        <v>48504856</v>
      </c>
      <c r="D63" s="799">
        <f>SUM(D64:D65)</f>
        <v>42739391</v>
      </c>
      <c r="E63" s="799">
        <f aca="true" t="shared" si="22" ref="E63:J63">SUM(E64:E65)</f>
        <v>522470</v>
      </c>
      <c r="F63" s="799">
        <f t="shared" si="22"/>
        <v>0</v>
      </c>
      <c r="G63" s="799">
        <f t="shared" si="22"/>
        <v>522470</v>
      </c>
      <c r="H63" s="799">
        <f t="shared" si="22"/>
        <v>0</v>
      </c>
      <c r="I63" s="799">
        <f t="shared" si="22"/>
        <v>994079</v>
      </c>
      <c r="J63" s="799">
        <f t="shared" si="22"/>
        <v>4152945</v>
      </c>
      <c r="K63" s="799">
        <f>SUM(K64:K65)</f>
        <v>57471</v>
      </c>
      <c r="L63" s="799">
        <f>SUM(L64:L65)</f>
        <v>0</v>
      </c>
      <c r="M63" s="799">
        <f>SUM(M64:M65)</f>
        <v>0</v>
      </c>
      <c r="N63" s="799">
        <f>SUM(N64:N65)</f>
        <v>0</v>
      </c>
      <c r="O63" s="799">
        <f>SUM(O64:O65)</f>
        <v>38500</v>
      </c>
    </row>
    <row r="64" spans="1:15" ht="15" hidden="1">
      <c r="A64" s="507">
        <v>1</v>
      </c>
      <c r="B64" s="429" t="s">
        <v>131</v>
      </c>
      <c r="C64" s="796">
        <f t="shared" si="21"/>
        <v>40367582</v>
      </c>
      <c r="D64" s="1137">
        <v>39373697</v>
      </c>
      <c r="E64" s="801">
        <f aca="true" t="shared" si="23" ref="E64:E74">SUM(F64:G64)</f>
        <v>279399</v>
      </c>
      <c r="F64" s="406">
        <v>0</v>
      </c>
      <c r="G64" s="406">
        <v>279399</v>
      </c>
      <c r="H64" s="406">
        <v>0</v>
      </c>
      <c r="I64" s="1137">
        <v>236276</v>
      </c>
      <c r="J64" s="406">
        <v>382239</v>
      </c>
      <c r="K64" s="406">
        <v>57471</v>
      </c>
      <c r="L64" s="406">
        <v>0</v>
      </c>
      <c r="M64" s="406">
        <v>0</v>
      </c>
      <c r="N64" s="406">
        <v>0</v>
      </c>
      <c r="O64" s="406">
        <v>38500</v>
      </c>
    </row>
    <row r="65" spans="1:15" ht="15" hidden="1">
      <c r="A65" s="507">
        <v>2</v>
      </c>
      <c r="B65" s="429" t="s">
        <v>132</v>
      </c>
      <c r="C65" s="796">
        <f t="shared" si="21"/>
        <v>8137274</v>
      </c>
      <c r="D65" s="406">
        <v>3365694</v>
      </c>
      <c r="E65" s="801">
        <f t="shared" si="23"/>
        <v>243071</v>
      </c>
      <c r="F65" s="406">
        <v>0</v>
      </c>
      <c r="G65" s="406">
        <v>243071</v>
      </c>
      <c r="H65" s="406">
        <v>0</v>
      </c>
      <c r="I65" s="406">
        <v>757803</v>
      </c>
      <c r="J65" s="406">
        <v>3770706</v>
      </c>
      <c r="K65" s="406">
        <v>0</v>
      </c>
      <c r="L65" s="406">
        <v>0</v>
      </c>
      <c r="M65" s="406">
        <v>0</v>
      </c>
      <c r="N65" s="406">
        <v>0</v>
      </c>
      <c r="O65" s="406">
        <v>0</v>
      </c>
    </row>
    <row r="66" spans="1:15" ht="15" hidden="1">
      <c r="A66" s="508" t="s">
        <v>1</v>
      </c>
      <c r="B66" s="394" t="s">
        <v>133</v>
      </c>
      <c r="C66" s="796">
        <f t="shared" si="21"/>
        <v>87500</v>
      </c>
      <c r="D66" s="406"/>
      <c r="E66" s="801">
        <f t="shared" si="23"/>
        <v>47000</v>
      </c>
      <c r="F66" s="406">
        <v>0</v>
      </c>
      <c r="G66" s="406">
        <v>47000</v>
      </c>
      <c r="H66" s="406">
        <v>0</v>
      </c>
      <c r="I66" s="406">
        <v>40500</v>
      </c>
      <c r="J66" s="406">
        <v>0</v>
      </c>
      <c r="K66" s="406">
        <v>0</v>
      </c>
      <c r="L66" s="406">
        <v>0</v>
      </c>
      <c r="M66" s="406">
        <v>0</v>
      </c>
      <c r="N66" s="406">
        <v>0</v>
      </c>
      <c r="O66" s="406">
        <v>0</v>
      </c>
    </row>
    <row r="67" spans="1:15" ht="15.75" hidden="1">
      <c r="A67" s="508" t="s">
        <v>9</v>
      </c>
      <c r="B67" s="394" t="s">
        <v>134</v>
      </c>
      <c r="C67" s="796">
        <f t="shared" si="21"/>
        <v>0</v>
      </c>
      <c r="D67" s="803"/>
      <c r="E67" s="801">
        <f t="shared" si="23"/>
        <v>0</v>
      </c>
      <c r="F67" s="803"/>
      <c r="G67" s="803"/>
      <c r="H67" s="803"/>
      <c r="I67" s="803"/>
      <c r="J67" s="803"/>
      <c r="K67" s="803"/>
      <c r="L67" s="803"/>
      <c r="M67" s="803"/>
      <c r="N67" s="803"/>
      <c r="O67" s="803"/>
    </row>
    <row r="68" spans="1:15" ht="1.5" customHeight="1" hidden="1">
      <c r="A68" s="508" t="s">
        <v>135</v>
      </c>
      <c r="B68" s="394" t="s">
        <v>136</v>
      </c>
      <c r="C68" s="791">
        <f>SUM(C63-C66+C67)</f>
        <v>48417356</v>
      </c>
      <c r="D68" s="791">
        <f>SUM(D63-D66+D67)</f>
        <v>42739391</v>
      </c>
      <c r="E68" s="799">
        <f t="shared" si="23"/>
        <v>475470</v>
      </c>
      <c r="F68" s="792">
        <f aca="true" t="shared" si="24" ref="F68:O68">F63-SUM(F66,F67)</f>
        <v>0</v>
      </c>
      <c r="G68" s="792">
        <f t="shared" si="24"/>
        <v>475470</v>
      </c>
      <c r="H68" s="792">
        <f t="shared" si="24"/>
        <v>0</v>
      </c>
      <c r="I68" s="792">
        <f t="shared" si="24"/>
        <v>953579</v>
      </c>
      <c r="J68" s="792">
        <f t="shared" si="24"/>
        <v>4152945</v>
      </c>
      <c r="K68" s="792">
        <f t="shared" si="24"/>
        <v>57471</v>
      </c>
      <c r="L68" s="792">
        <f t="shared" si="24"/>
        <v>0</v>
      </c>
      <c r="M68" s="792">
        <f t="shared" si="24"/>
        <v>0</v>
      </c>
      <c r="N68" s="792">
        <f t="shared" si="24"/>
        <v>0</v>
      </c>
      <c r="O68" s="792">
        <f t="shared" si="24"/>
        <v>38500</v>
      </c>
    </row>
    <row r="69" spans="1:15" ht="11.25" customHeight="1" hidden="1">
      <c r="A69" s="508" t="s">
        <v>51</v>
      </c>
      <c r="B69" s="430" t="s">
        <v>137</v>
      </c>
      <c r="C69" s="791">
        <f>SUM(C70:C76)</f>
        <v>25926814</v>
      </c>
      <c r="D69" s="800">
        <f>SUM(D70:D76)</f>
        <v>20974628</v>
      </c>
      <c r="E69" s="799">
        <f t="shared" si="23"/>
        <v>184864</v>
      </c>
      <c r="F69" s="800">
        <f aca="true" t="shared" si="25" ref="F69:O69">SUM(F70:F76)</f>
        <v>0</v>
      </c>
      <c r="G69" s="800">
        <f t="shared" si="25"/>
        <v>184864</v>
      </c>
      <c r="H69" s="800">
        <f t="shared" si="25"/>
        <v>0</v>
      </c>
      <c r="I69" s="800">
        <f t="shared" si="25"/>
        <v>795877</v>
      </c>
      <c r="J69" s="800">
        <f t="shared" si="25"/>
        <v>3932945</v>
      </c>
      <c r="K69" s="800">
        <f t="shared" si="25"/>
        <v>0</v>
      </c>
      <c r="L69" s="800">
        <f t="shared" si="25"/>
        <v>0</v>
      </c>
      <c r="M69" s="800">
        <f t="shared" si="25"/>
        <v>0</v>
      </c>
      <c r="N69" s="800">
        <f t="shared" si="25"/>
        <v>0</v>
      </c>
      <c r="O69" s="800">
        <f t="shared" si="25"/>
        <v>38500</v>
      </c>
    </row>
    <row r="70" spans="1:15" ht="15" hidden="1">
      <c r="A70" s="507" t="s">
        <v>53</v>
      </c>
      <c r="B70" s="429" t="s">
        <v>138</v>
      </c>
      <c r="C70" s="796">
        <f t="shared" si="21"/>
        <v>3700037</v>
      </c>
      <c r="D70" s="406">
        <v>741445</v>
      </c>
      <c r="E70" s="801">
        <f t="shared" si="23"/>
        <v>164392</v>
      </c>
      <c r="F70" s="406">
        <v>0</v>
      </c>
      <c r="G70" s="406">
        <v>164392</v>
      </c>
      <c r="H70" s="406">
        <v>0</v>
      </c>
      <c r="I70" s="406">
        <v>448200</v>
      </c>
      <c r="J70" s="406">
        <v>2346000</v>
      </c>
      <c r="K70" s="406">
        <v>0</v>
      </c>
      <c r="L70" s="406">
        <v>0</v>
      </c>
      <c r="M70" s="406">
        <v>0</v>
      </c>
      <c r="N70" s="406">
        <v>0</v>
      </c>
      <c r="O70" s="406">
        <v>0</v>
      </c>
    </row>
    <row r="71" spans="1:15" ht="15" hidden="1">
      <c r="A71" s="507" t="s">
        <v>54</v>
      </c>
      <c r="B71" s="429" t="s">
        <v>139</v>
      </c>
      <c r="C71" s="796">
        <f t="shared" si="21"/>
        <v>1216711</v>
      </c>
      <c r="D71" s="406">
        <v>544513</v>
      </c>
      <c r="E71" s="801">
        <f t="shared" si="23"/>
        <v>1576</v>
      </c>
      <c r="F71" s="406">
        <v>0</v>
      </c>
      <c r="G71" s="406">
        <v>1576</v>
      </c>
      <c r="H71" s="406">
        <v>0</v>
      </c>
      <c r="I71" s="406">
        <v>0</v>
      </c>
      <c r="J71" s="406">
        <v>670622</v>
      </c>
      <c r="K71" s="406">
        <v>0</v>
      </c>
      <c r="L71" s="406">
        <v>0</v>
      </c>
      <c r="M71" s="406">
        <v>0</v>
      </c>
      <c r="N71" s="406">
        <v>0</v>
      </c>
      <c r="O71" s="406">
        <v>0</v>
      </c>
    </row>
    <row r="72" spans="1:15" ht="15" hidden="1">
      <c r="A72" s="507" t="s">
        <v>140</v>
      </c>
      <c r="B72" s="429" t="s">
        <v>141</v>
      </c>
      <c r="C72" s="796">
        <f t="shared" si="21"/>
        <v>6404168</v>
      </c>
      <c r="D72" s="406">
        <v>5082773</v>
      </c>
      <c r="E72" s="801">
        <f t="shared" si="23"/>
        <v>18896</v>
      </c>
      <c r="F72" s="406">
        <v>0</v>
      </c>
      <c r="G72" s="406">
        <v>18896</v>
      </c>
      <c r="H72" s="406">
        <v>0</v>
      </c>
      <c r="I72" s="406">
        <v>347676</v>
      </c>
      <c r="J72" s="406">
        <v>916323</v>
      </c>
      <c r="K72" s="406">
        <v>0</v>
      </c>
      <c r="L72" s="406">
        <v>0</v>
      </c>
      <c r="M72" s="406">
        <v>0</v>
      </c>
      <c r="N72" s="406">
        <v>0</v>
      </c>
      <c r="O72" s="406">
        <v>38500</v>
      </c>
    </row>
    <row r="73" spans="1:15" ht="0.75" customHeight="1" hidden="1">
      <c r="A73" s="507" t="s">
        <v>142</v>
      </c>
      <c r="B73" s="429" t="s">
        <v>143</v>
      </c>
      <c r="C73" s="796">
        <f t="shared" si="21"/>
        <v>14489358</v>
      </c>
      <c r="D73" s="406">
        <v>14489357</v>
      </c>
      <c r="E73" s="801">
        <f t="shared" si="23"/>
        <v>0</v>
      </c>
      <c r="F73" s="406">
        <v>0</v>
      </c>
      <c r="G73" s="406">
        <v>0</v>
      </c>
      <c r="H73" s="406">
        <v>0</v>
      </c>
      <c r="I73" s="406">
        <v>1</v>
      </c>
      <c r="J73" s="406">
        <v>0</v>
      </c>
      <c r="K73" s="406">
        <v>0</v>
      </c>
      <c r="L73" s="406">
        <v>0</v>
      </c>
      <c r="M73" s="406">
        <v>0</v>
      </c>
      <c r="N73" s="406">
        <v>0</v>
      </c>
      <c r="O73" s="406">
        <v>0</v>
      </c>
    </row>
    <row r="74" spans="1:15" ht="15" hidden="1">
      <c r="A74" s="507" t="s">
        <v>144</v>
      </c>
      <c r="B74" s="429" t="s">
        <v>145</v>
      </c>
      <c r="C74" s="796">
        <f t="shared" si="21"/>
        <v>0</v>
      </c>
      <c r="D74" s="406">
        <v>0</v>
      </c>
      <c r="E74" s="801">
        <f t="shared" si="23"/>
        <v>0</v>
      </c>
      <c r="F74" s="406">
        <v>0</v>
      </c>
      <c r="G74" s="406">
        <v>0</v>
      </c>
      <c r="H74" s="406">
        <v>0</v>
      </c>
      <c r="I74" s="406">
        <v>0</v>
      </c>
      <c r="J74" s="406">
        <v>0</v>
      </c>
      <c r="K74" s="406">
        <v>0</v>
      </c>
      <c r="L74" s="406">
        <v>0</v>
      </c>
      <c r="M74" s="406">
        <v>0</v>
      </c>
      <c r="N74" s="406">
        <v>0</v>
      </c>
      <c r="O74" s="406">
        <v>0</v>
      </c>
    </row>
    <row r="75" spans="1:15" ht="25.5" hidden="1">
      <c r="A75" s="507" t="s">
        <v>146</v>
      </c>
      <c r="B75" s="431" t="s">
        <v>147</v>
      </c>
      <c r="C75" s="796">
        <f t="shared" si="21"/>
        <v>0</v>
      </c>
      <c r="D75" s="406">
        <v>0</v>
      </c>
      <c r="E75" s="801">
        <f>SUM(F75:G75)</f>
        <v>0</v>
      </c>
      <c r="F75" s="820">
        <v>0</v>
      </c>
      <c r="G75" s="820">
        <v>0</v>
      </c>
      <c r="H75" s="820">
        <v>0</v>
      </c>
      <c r="I75" s="820">
        <v>0</v>
      </c>
      <c r="J75" s="820">
        <v>0</v>
      </c>
      <c r="K75" s="820">
        <v>0</v>
      </c>
      <c r="L75" s="820">
        <v>0</v>
      </c>
      <c r="M75" s="820">
        <v>0</v>
      </c>
      <c r="N75" s="820">
        <v>0</v>
      </c>
      <c r="O75" s="820">
        <v>0</v>
      </c>
    </row>
    <row r="76" spans="1:15" ht="19.5" customHeight="1" hidden="1">
      <c r="A76" s="507" t="s">
        <v>148</v>
      </c>
      <c r="B76" s="429" t="s">
        <v>149</v>
      </c>
      <c r="C76" s="796">
        <f t="shared" si="21"/>
        <v>116540</v>
      </c>
      <c r="D76" s="406">
        <v>116540</v>
      </c>
      <c r="E76" s="801">
        <f>SUM(F76:G76)</f>
        <v>0</v>
      </c>
      <c r="F76" s="820">
        <v>0</v>
      </c>
      <c r="G76" s="820">
        <v>0</v>
      </c>
      <c r="H76" s="820">
        <v>0</v>
      </c>
      <c r="I76" s="820">
        <v>0</v>
      </c>
      <c r="J76" s="820">
        <v>0</v>
      </c>
      <c r="K76" s="820">
        <v>0</v>
      </c>
      <c r="L76" s="820">
        <v>0</v>
      </c>
      <c r="M76" s="820">
        <v>0</v>
      </c>
      <c r="N76" s="820">
        <v>0</v>
      </c>
      <c r="O76" s="820">
        <v>0</v>
      </c>
    </row>
    <row r="77" spans="1:15" ht="19.5" customHeight="1" hidden="1">
      <c r="A77" s="508" t="s">
        <v>52</v>
      </c>
      <c r="B77" s="394" t="s">
        <v>150</v>
      </c>
      <c r="C77" s="807">
        <f>C63-C66-C67-C69</f>
        <v>22490542</v>
      </c>
      <c r="D77" s="807">
        <f>D68-D69</f>
        <v>21764763</v>
      </c>
      <c r="E77" s="807">
        <f aca="true" t="shared" si="26" ref="E77:O77">E68-E69</f>
        <v>290606</v>
      </c>
      <c r="F77" s="807">
        <f t="shared" si="26"/>
        <v>0</v>
      </c>
      <c r="G77" s="807">
        <f t="shared" si="26"/>
        <v>290606</v>
      </c>
      <c r="H77" s="807">
        <f t="shared" si="26"/>
        <v>0</v>
      </c>
      <c r="I77" s="807">
        <f t="shared" si="26"/>
        <v>157702</v>
      </c>
      <c r="J77" s="807">
        <f t="shared" si="26"/>
        <v>220000</v>
      </c>
      <c r="K77" s="807">
        <f t="shared" si="26"/>
        <v>57471</v>
      </c>
      <c r="L77" s="807">
        <f t="shared" si="26"/>
        <v>0</v>
      </c>
      <c r="M77" s="807">
        <f t="shared" si="26"/>
        <v>0</v>
      </c>
      <c r="N77" s="807">
        <f t="shared" si="26"/>
        <v>0</v>
      </c>
      <c r="O77" s="807">
        <f t="shared" si="26"/>
        <v>0</v>
      </c>
    </row>
    <row r="78" spans="1:15" ht="25.5" hidden="1">
      <c r="A78" s="534" t="s">
        <v>538</v>
      </c>
      <c r="B78" s="470" t="s">
        <v>151</v>
      </c>
      <c r="C78" s="532">
        <f>(C70+C71)/C69</f>
        <v>0.1896394983201561</v>
      </c>
      <c r="D78" s="533">
        <f aca="true" t="shared" si="27" ref="D78:O78">(D70+D71)/D69</f>
        <v>0.06131016960110091</v>
      </c>
      <c r="E78" s="532">
        <f t="shared" si="27"/>
        <v>0.8977843171196123</v>
      </c>
      <c r="F78" s="533" t="e">
        <f t="shared" si="27"/>
        <v>#DIV/0!</v>
      </c>
      <c r="G78" s="533">
        <f t="shared" si="27"/>
        <v>0.8977843171196123</v>
      </c>
      <c r="H78" s="533" t="e">
        <f t="shared" si="27"/>
        <v>#DIV/0!</v>
      </c>
      <c r="I78" s="533">
        <f t="shared" si="27"/>
        <v>0.5631523464052862</v>
      </c>
      <c r="J78" s="533">
        <f t="shared" si="27"/>
        <v>0.7670135229452738</v>
      </c>
      <c r="K78" s="533" t="e">
        <f t="shared" si="27"/>
        <v>#DIV/0!</v>
      </c>
      <c r="L78" s="533" t="e">
        <f t="shared" si="27"/>
        <v>#DIV/0!</v>
      </c>
      <c r="M78" s="533" t="e">
        <f t="shared" si="27"/>
        <v>#DIV/0!</v>
      </c>
      <c r="N78" s="533" t="e">
        <f t="shared" si="27"/>
        <v>#DIV/0!</v>
      </c>
      <c r="O78" s="533">
        <f t="shared" si="27"/>
        <v>0</v>
      </c>
    </row>
    <row r="79" ht="0.75" customHeight="1" hidden="1"/>
    <row r="80" ht="15" hidden="1">
      <c r="B80" s="861" t="s">
        <v>748</v>
      </c>
    </row>
    <row r="81" spans="1:15" ht="15" hidden="1">
      <c r="A81" s="1573" t="s">
        <v>68</v>
      </c>
      <c r="B81" s="1574"/>
      <c r="C81" s="1582" t="s">
        <v>37</v>
      </c>
      <c r="D81" s="1582" t="s">
        <v>335</v>
      </c>
      <c r="E81" s="1583"/>
      <c r="F81" s="1583"/>
      <c r="G81" s="1583"/>
      <c r="H81" s="1583"/>
      <c r="I81" s="1583"/>
      <c r="J81" s="1583"/>
      <c r="K81" s="1583"/>
      <c r="L81" s="1583"/>
      <c r="M81" s="1583"/>
      <c r="N81" s="1583"/>
      <c r="O81" s="1584"/>
    </row>
    <row r="82" spans="1:15" ht="16.5" customHeight="1" hidden="1">
      <c r="A82" s="1575"/>
      <c r="B82" s="1576"/>
      <c r="C82" s="1596"/>
      <c r="D82" s="1586" t="s">
        <v>119</v>
      </c>
      <c r="E82" s="1593" t="s">
        <v>120</v>
      </c>
      <c r="F82" s="1594"/>
      <c r="G82" s="1595"/>
      <c r="H82" s="1569" t="s">
        <v>121</v>
      </c>
      <c r="I82" s="1569" t="s">
        <v>122</v>
      </c>
      <c r="J82" s="1569" t="s">
        <v>198</v>
      </c>
      <c r="K82" s="1569" t="s">
        <v>124</v>
      </c>
      <c r="L82" s="1569" t="s">
        <v>125</v>
      </c>
      <c r="M82" s="1569" t="s">
        <v>126</v>
      </c>
      <c r="N82" s="1569" t="s">
        <v>183</v>
      </c>
      <c r="O82" s="1569" t="s">
        <v>127</v>
      </c>
    </row>
    <row r="83" spans="1:15" ht="15" hidden="1">
      <c r="A83" s="1575"/>
      <c r="B83" s="1576"/>
      <c r="C83" s="1596"/>
      <c r="D83" s="1586"/>
      <c r="E83" s="1568" t="s">
        <v>36</v>
      </c>
      <c r="F83" s="1571" t="s">
        <v>7</v>
      </c>
      <c r="G83" s="1572"/>
      <c r="H83" s="1569"/>
      <c r="I83" s="1569"/>
      <c r="J83" s="1569"/>
      <c r="K83" s="1569"/>
      <c r="L83" s="1569"/>
      <c r="M83" s="1569"/>
      <c r="N83" s="1569"/>
      <c r="O83" s="1569"/>
    </row>
    <row r="84" spans="1:15" ht="15" hidden="1">
      <c r="A84" s="1577"/>
      <c r="B84" s="1578"/>
      <c r="C84" s="1596"/>
      <c r="D84" s="1587"/>
      <c r="E84" s="1570"/>
      <c r="F84" s="559" t="s">
        <v>199</v>
      </c>
      <c r="G84" s="560" t="s">
        <v>200</v>
      </c>
      <c r="H84" s="1570"/>
      <c r="I84" s="1570"/>
      <c r="J84" s="1570"/>
      <c r="K84" s="1570"/>
      <c r="L84" s="1570"/>
      <c r="M84" s="1570"/>
      <c r="N84" s="1570"/>
      <c r="O84" s="1570"/>
    </row>
    <row r="85" spans="1:15" ht="15" hidden="1">
      <c r="A85" s="1566" t="s">
        <v>39</v>
      </c>
      <c r="B85" s="1567"/>
      <c r="C85" s="505">
        <v>1</v>
      </c>
      <c r="D85" s="505">
        <v>2</v>
      </c>
      <c r="E85" s="505">
        <v>3</v>
      </c>
      <c r="F85" s="505">
        <v>4</v>
      </c>
      <c r="G85" s="505">
        <v>5</v>
      </c>
      <c r="H85" s="505">
        <v>6</v>
      </c>
      <c r="I85" s="505">
        <v>7</v>
      </c>
      <c r="J85" s="505">
        <v>8</v>
      </c>
      <c r="K85" s="505">
        <v>9</v>
      </c>
      <c r="L85" s="505">
        <v>10</v>
      </c>
      <c r="M85" s="505">
        <v>11</v>
      </c>
      <c r="N85" s="505">
        <v>12</v>
      </c>
      <c r="O85" s="505">
        <v>13</v>
      </c>
    </row>
    <row r="86" spans="1:15" ht="15" hidden="1">
      <c r="A86" s="506" t="s">
        <v>0</v>
      </c>
      <c r="B86" s="427" t="s">
        <v>130</v>
      </c>
      <c r="C86" s="791">
        <f aca="true" t="shared" si="28" ref="C86:C99">SUM(D86,E86,H86:O86)</f>
        <v>5673597</v>
      </c>
      <c r="D86" s="799">
        <f>SUM(D87:D88)</f>
        <v>4771551</v>
      </c>
      <c r="E86" s="799">
        <f aca="true" t="shared" si="29" ref="E86:J86">SUM(E87:E88)</f>
        <v>161100</v>
      </c>
      <c r="F86" s="799">
        <f t="shared" si="29"/>
        <v>0</v>
      </c>
      <c r="G86" s="799">
        <f t="shared" si="29"/>
        <v>161100</v>
      </c>
      <c r="H86" s="799">
        <f t="shared" si="29"/>
        <v>0</v>
      </c>
      <c r="I86" s="799">
        <f t="shared" si="29"/>
        <v>740946</v>
      </c>
      <c r="J86" s="799">
        <f t="shared" si="29"/>
        <v>0</v>
      </c>
      <c r="K86" s="799">
        <f>SUM(K87:K88)</f>
        <v>0</v>
      </c>
      <c r="L86" s="799">
        <f>SUM(L87:L88)</f>
        <v>0</v>
      </c>
      <c r="M86" s="799">
        <f>SUM(M87:M88)</f>
        <v>0</v>
      </c>
      <c r="N86" s="799">
        <f>SUM(N87:N88)</f>
        <v>0</v>
      </c>
      <c r="O86" s="799">
        <f>SUM(O87:O88)</f>
        <v>0</v>
      </c>
    </row>
    <row r="87" spans="1:15" ht="15.75" hidden="1">
      <c r="A87" s="507">
        <v>1</v>
      </c>
      <c r="B87" s="429" t="s">
        <v>131</v>
      </c>
      <c r="C87" s="796">
        <f t="shared" si="28"/>
        <v>4075793</v>
      </c>
      <c r="D87" s="882">
        <v>3873743</v>
      </c>
      <c r="E87" s="801">
        <f aca="true" t="shared" si="30" ref="E87:E97">SUM(F87:G87)</f>
        <v>111053</v>
      </c>
      <c r="F87" s="882">
        <v>0</v>
      </c>
      <c r="G87" s="882">
        <v>111053</v>
      </c>
      <c r="H87" s="882">
        <v>0</v>
      </c>
      <c r="I87" s="882">
        <v>90997</v>
      </c>
      <c r="J87" s="882">
        <v>0</v>
      </c>
      <c r="K87" s="882">
        <v>0</v>
      </c>
      <c r="L87" s="882">
        <v>0</v>
      </c>
      <c r="M87" s="882">
        <v>0</v>
      </c>
      <c r="N87" s="882">
        <v>0</v>
      </c>
      <c r="O87" s="882">
        <v>0</v>
      </c>
    </row>
    <row r="88" spans="1:15" ht="15.75" hidden="1">
      <c r="A88" s="507">
        <v>2</v>
      </c>
      <c r="B88" s="429" t="s">
        <v>132</v>
      </c>
      <c r="C88" s="796">
        <f t="shared" si="28"/>
        <v>1597804</v>
      </c>
      <c r="D88" s="882">
        <v>897808</v>
      </c>
      <c r="E88" s="801">
        <f t="shared" si="30"/>
        <v>50047</v>
      </c>
      <c r="F88" s="882">
        <v>0</v>
      </c>
      <c r="G88" s="882">
        <v>50047</v>
      </c>
      <c r="H88" s="882">
        <v>0</v>
      </c>
      <c r="I88" s="882">
        <v>649949</v>
      </c>
      <c r="J88" s="882">
        <v>0</v>
      </c>
      <c r="K88" s="882">
        <v>0</v>
      </c>
      <c r="L88" s="882">
        <v>0</v>
      </c>
      <c r="M88" s="882">
        <v>0</v>
      </c>
      <c r="N88" s="882">
        <v>0</v>
      </c>
      <c r="O88" s="882">
        <v>0</v>
      </c>
    </row>
    <row r="89" spans="1:15" ht="15.75" hidden="1">
      <c r="A89" s="508" t="s">
        <v>1</v>
      </c>
      <c r="B89" s="394" t="s">
        <v>133</v>
      </c>
      <c r="C89" s="796">
        <f t="shared" si="28"/>
        <v>68000</v>
      </c>
      <c r="D89" s="882">
        <v>0</v>
      </c>
      <c r="E89" s="801">
        <f t="shared" si="30"/>
        <v>0</v>
      </c>
      <c r="F89" s="882">
        <v>0</v>
      </c>
      <c r="G89" s="882">
        <v>0</v>
      </c>
      <c r="H89" s="882">
        <v>0</v>
      </c>
      <c r="I89" s="882">
        <v>68000</v>
      </c>
      <c r="J89" s="882">
        <v>0</v>
      </c>
      <c r="K89" s="882">
        <v>0</v>
      </c>
      <c r="L89" s="882">
        <v>0</v>
      </c>
      <c r="M89" s="882">
        <v>0</v>
      </c>
      <c r="N89" s="882">
        <v>0</v>
      </c>
      <c r="O89" s="882">
        <v>0</v>
      </c>
    </row>
    <row r="90" spans="1:15" ht="15.75" hidden="1">
      <c r="A90" s="508" t="s">
        <v>9</v>
      </c>
      <c r="B90" s="394" t="s">
        <v>134</v>
      </c>
      <c r="C90" s="796">
        <f t="shared" si="28"/>
        <v>0</v>
      </c>
      <c r="D90" s="882">
        <v>0</v>
      </c>
      <c r="E90" s="801">
        <f t="shared" si="30"/>
        <v>0</v>
      </c>
      <c r="F90" s="882">
        <v>0</v>
      </c>
      <c r="G90" s="882">
        <v>0</v>
      </c>
      <c r="H90" s="882">
        <v>0</v>
      </c>
      <c r="I90" s="882">
        <v>0</v>
      </c>
      <c r="J90" s="882">
        <v>0</v>
      </c>
      <c r="K90" s="882">
        <v>0</v>
      </c>
      <c r="L90" s="882">
        <v>0</v>
      </c>
      <c r="M90" s="882">
        <v>0</v>
      </c>
      <c r="N90" s="882">
        <v>0</v>
      </c>
      <c r="O90" s="882">
        <v>0</v>
      </c>
    </row>
    <row r="91" spans="1:15" ht="15" hidden="1">
      <c r="A91" s="508" t="s">
        <v>135</v>
      </c>
      <c r="B91" s="394" t="s">
        <v>136</v>
      </c>
      <c r="C91" s="791">
        <f t="shared" si="28"/>
        <v>5605597</v>
      </c>
      <c r="D91" s="792">
        <f>D86-SUM(D89,D90)</f>
        <v>4771551</v>
      </c>
      <c r="E91" s="799">
        <f t="shared" si="30"/>
        <v>161100</v>
      </c>
      <c r="F91" s="792">
        <f aca="true" t="shared" si="31" ref="F91:O91">F86-SUM(F89,F90)</f>
        <v>0</v>
      </c>
      <c r="G91" s="792">
        <f t="shared" si="31"/>
        <v>161100</v>
      </c>
      <c r="H91" s="792">
        <f t="shared" si="31"/>
        <v>0</v>
      </c>
      <c r="I91" s="792">
        <f t="shared" si="31"/>
        <v>672946</v>
      </c>
      <c r="J91" s="792">
        <f t="shared" si="31"/>
        <v>0</v>
      </c>
      <c r="K91" s="792">
        <f t="shared" si="31"/>
        <v>0</v>
      </c>
      <c r="L91" s="792">
        <f t="shared" si="31"/>
        <v>0</v>
      </c>
      <c r="M91" s="792">
        <f t="shared" si="31"/>
        <v>0</v>
      </c>
      <c r="N91" s="792">
        <f t="shared" si="31"/>
        <v>0</v>
      </c>
      <c r="O91" s="792">
        <f t="shared" si="31"/>
        <v>0</v>
      </c>
    </row>
    <row r="92" spans="1:15" ht="15" hidden="1">
      <c r="A92" s="508" t="s">
        <v>51</v>
      </c>
      <c r="B92" s="430" t="s">
        <v>137</v>
      </c>
      <c r="C92" s="791">
        <f t="shared" si="28"/>
        <v>3796959</v>
      </c>
      <c r="D92" s="800">
        <f>SUM(D93:D99)</f>
        <v>3189535</v>
      </c>
      <c r="E92" s="799">
        <f t="shared" si="30"/>
        <v>30515</v>
      </c>
      <c r="F92" s="800">
        <f aca="true" t="shared" si="32" ref="F92:O92">SUM(F93:F99)</f>
        <v>0</v>
      </c>
      <c r="G92" s="800">
        <f t="shared" si="32"/>
        <v>30515</v>
      </c>
      <c r="H92" s="800">
        <f t="shared" si="32"/>
        <v>0</v>
      </c>
      <c r="I92" s="800">
        <f t="shared" si="32"/>
        <v>576909</v>
      </c>
      <c r="J92" s="800">
        <f t="shared" si="32"/>
        <v>0</v>
      </c>
      <c r="K92" s="800">
        <f t="shared" si="32"/>
        <v>0</v>
      </c>
      <c r="L92" s="800">
        <f t="shared" si="32"/>
        <v>0</v>
      </c>
      <c r="M92" s="800">
        <f t="shared" si="32"/>
        <v>0</v>
      </c>
      <c r="N92" s="800">
        <f t="shared" si="32"/>
        <v>0</v>
      </c>
      <c r="O92" s="800">
        <f t="shared" si="32"/>
        <v>0</v>
      </c>
    </row>
    <row r="93" spans="1:15" ht="15.75" hidden="1">
      <c r="A93" s="507" t="s">
        <v>53</v>
      </c>
      <c r="B93" s="429" t="s">
        <v>138</v>
      </c>
      <c r="C93" s="796">
        <f t="shared" si="28"/>
        <v>620359</v>
      </c>
      <c r="D93" s="882">
        <v>563511</v>
      </c>
      <c r="E93" s="801">
        <f t="shared" si="30"/>
        <v>21047</v>
      </c>
      <c r="F93" s="882">
        <v>0</v>
      </c>
      <c r="G93" s="882">
        <v>21047</v>
      </c>
      <c r="H93" s="882">
        <v>0</v>
      </c>
      <c r="I93" s="882">
        <v>35801</v>
      </c>
      <c r="J93" s="882">
        <v>0</v>
      </c>
      <c r="K93" s="882">
        <v>0</v>
      </c>
      <c r="L93" s="882">
        <v>0</v>
      </c>
      <c r="M93" s="882">
        <v>0</v>
      </c>
      <c r="N93" s="882">
        <v>0</v>
      </c>
      <c r="O93" s="882">
        <v>0</v>
      </c>
    </row>
    <row r="94" spans="1:15" ht="15.75" hidden="1">
      <c r="A94" s="507" t="s">
        <v>54</v>
      </c>
      <c r="B94" s="429" t="s">
        <v>139</v>
      </c>
      <c r="C94" s="796">
        <f t="shared" si="28"/>
        <v>3440</v>
      </c>
      <c r="D94" s="882">
        <v>2971</v>
      </c>
      <c r="E94" s="801">
        <f t="shared" si="30"/>
        <v>468</v>
      </c>
      <c r="F94" s="882">
        <v>0</v>
      </c>
      <c r="G94" s="882">
        <v>468</v>
      </c>
      <c r="H94" s="882">
        <v>0</v>
      </c>
      <c r="I94" s="882">
        <v>1</v>
      </c>
      <c r="J94" s="882">
        <v>0</v>
      </c>
      <c r="K94" s="882">
        <v>0</v>
      </c>
      <c r="L94" s="882">
        <v>0</v>
      </c>
      <c r="M94" s="882">
        <v>0</v>
      </c>
      <c r="N94" s="882">
        <v>0</v>
      </c>
      <c r="O94" s="882">
        <v>0</v>
      </c>
    </row>
    <row r="95" spans="1:15" ht="15.75" hidden="1">
      <c r="A95" s="507" t="s">
        <v>140</v>
      </c>
      <c r="B95" s="429" t="s">
        <v>141</v>
      </c>
      <c r="C95" s="796">
        <f t="shared" si="28"/>
        <v>3041960</v>
      </c>
      <c r="D95" s="882">
        <v>2491853</v>
      </c>
      <c r="E95" s="801">
        <f t="shared" si="30"/>
        <v>9000</v>
      </c>
      <c r="F95" s="882">
        <v>0</v>
      </c>
      <c r="G95" s="882">
        <v>9000</v>
      </c>
      <c r="H95" s="882">
        <v>0</v>
      </c>
      <c r="I95" s="882">
        <v>541107</v>
      </c>
      <c r="J95" s="882">
        <v>0</v>
      </c>
      <c r="K95" s="882">
        <v>0</v>
      </c>
      <c r="L95" s="882">
        <v>0</v>
      </c>
      <c r="M95" s="882">
        <v>0</v>
      </c>
      <c r="N95" s="882">
        <v>0</v>
      </c>
      <c r="O95" s="882">
        <v>0</v>
      </c>
    </row>
    <row r="96" spans="1:15" ht="15.75" hidden="1">
      <c r="A96" s="507" t="s">
        <v>142</v>
      </c>
      <c r="B96" s="429" t="s">
        <v>143</v>
      </c>
      <c r="C96" s="796">
        <f t="shared" si="28"/>
        <v>0</v>
      </c>
      <c r="D96" s="882">
        <v>0</v>
      </c>
      <c r="E96" s="801">
        <f t="shared" si="30"/>
        <v>0</v>
      </c>
      <c r="F96" s="882">
        <v>0</v>
      </c>
      <c r="G96" s="882">
        <v>0</v>
      </c>
      <c r="H96" s="882">
        <v>0</v>
      </c>
      <c r="I96" s="882">
        <v>0</v>
      </c>
      <c r="J96" s="882">
        <v>0</v>
      </c>
      <c r="K96" s="882">
        <v>0</v>
      </c>
      <c r="L96" s="882">
        <v>0</v>
      </c>
      <c r="M96" s="882">
        <v>0</v>
      </c>
      <c r="N96" s="882">
        <v>0</v>
      </c>
      <c r="O96" s="882">
        <v>0</v>
      </c>
    </row>
    <row r="97" spans="1:15" ht="15.75" hidden="1">
      <c r="A97" s="507" t="s">
        <v>144</v>
      </c>
      <c r="B97" s="429" t="s">
        <v>145</v>
      </c>
      <c r="C97" s="796">
        <f t="shared" si="28"/>
        <v>0</v>
      </c>
      <c r="D97" s="882">
        <v>0</v>
      </c>
      <c r="E97" s="801">
        <f t="shared" si="30"/>
        <v>0</v>
      </c>
      <c r="F97" s="882">
        <v>0</v>
      </c>
      <c r="G97" s="882">
        <v>0</v>
      </c>
      <c r="H97" s="882">
        <v>0</v>
      </c>
      <c r="I97" s="882">
        <v>0</v>
      </c>
      <c r="J97" s="882">
        <v>0</v>
      </c>
      <c r="K97" s="882">
        <v>0</v>
      </c>
      <c r="L97" s="882">
        <v>0</v>
      </c>
      <c r="M97" s="882">
        <v>0</v>
      </c>
      <c r="N97" s="882">
        <v>0</v>
      </c>
      <c r="O97" s="882">
        <v>0</v>
      </c>
    </row>
    <row r="98" spans="1:15" ht="25.5" hidden="1">
      <c r="A98" s="507" t="s">
        <v>146</v>
      </c>
      <c r="B98" s="431" t="s">
        <v>147</v>
      </c>
      <c r="C98" s="796">
        <f t="shared" si="28"/>
        <v>0</v>
      </c>
      <c r="D98" s="882">
        <v>0</v>
      </c>
      <c r="E98" s="801">
        <f>SUM(F98:G98)</f>
        <v>0</v>
      </c>
      <c r="F98" s="882">
        <v>0</v>
      </c>
      <c r="G98" s="882">
        <v>0</v>
      </c>
      <c r="H98" s="882">
        <v>0</v>
      </c>
      <c r="I98" s="882">
        <v>0</v>
      </c>
      <c r="J98" s="882">
        <v>0</v>
      </c>
      <c r="K98" s="882">
        <v>0</v>
      </c>
      <c r="L98" s="882">
        <v>0</v>
      </c>
      <c r="M98" s="882">
        <v>0</v>
      </c>
      <c r="N98" s="882">
        <v>0</v>
      </c>
      <c r="O98" s="882">
        <v>0</v>
      </c>
    </row>
    <row r="99" spans="1:15" ht="15.75" hidden="1">
      <c r="A99" s="507" t="s">
        <v>148</v>
      </c>
      <c r="B99" s="429" t="s">
        <v>149</v>
      </c>
      <c r="C99" s="796">
        <f t="shared" si="28"/>
        <v>131200</v>
      </c>
      <c r="D99" s="882">
        <v>131200</v>
      </c>
      <c r="E99" s="801">
        <f>SUM(F99:G99)</f>
        <v>0</v>
      </c>
      <c r="F99" s="882">
        <v>0</v>
      </c>
      <c r="G99" s="882">
        <v>0</v>
      </c>
      <c r="H99" s="882">
        <v>0</v>
      </c>
      <c r="I99" s="882">
        <v>0</v>
      </c>
      <c r="J99" s="882">
        <v>0</v>
      </c>
      <c r="K99" s="882">
        <v>0</v>
      </c>
      <c r="L99" s="882">
        <v>0</v>
      </c>
      <c r="M99" s="882">
        <v>0</v>
      </c>
      <c r="N99" s="882">
        <v>0</v>
      </c>
      <c r="O99" s="882">
        <v>0</v>
      </c>
    </row>
    <row r="100" spans="1:15" ht="15" hidden="1">
      <c r="A100" s="508" t="s">
        <v>52</v>
      </c>
      <c r="B100" s="394" t="s">
        <v>150</v>
      </c>
      <c r="C100" s="807">
        <f>C86-C89-C90-C92</f>
        <v>1808638</v>
      </c>
      <c r="D100" s="807">
        <f>D91-D92</f>
        <v>1582016</v>
      </c>
      <c r="E100" s="807">
        <f aca="true" t="shared" si="33" ref="E100:O100">E91-E92</f>
        <v>130585</v>
      </c>
      <c r="F100" s="807">
        <f t="shared" si="33"/>
        <v>0</v>
      </c>
      <c r="G100" s="807">
        <f t="shared" si="33"/>
        <v>130585</v>
      </c>
      <c r="H100" s="807">
        <f t="shared" si="33"/>
        <v>0</v>
      </c>
      <c r="I100" s="807">
        <f t="shared" si="33"/>
        <v>96037</v>
      </c>
      <c r="J100" s="807">
        <f t="shared" si="33"/>
        <v>0</v>
      </c>
      <c r="K100" s="807">
        <f t="shared" si="33"/>
        <v>0</v>
      </c>
      <c r="L100" s="807">
        <f t="shared" si="33"/>
        <v>0</v>
      </c>
      <c r="M100" s="807">
        <f t="shared" si="33"/>
        <v>0</v>
      </c>
      <c r="N100" s="807">
        <f t="shared" si="33"/>
        <v>0</v>
      </c>
      <c r="O100" s="807">
        <f t="shared" si="33"/>
        <v>0</v>
      </c>
    </row>
    <row r="101" spans="1:15" ht="25.5" hidden="1">
      <c r="A101" s="534" t="s">
        <v>538</v>
      </c>
      <c r="B101" s="470" t="s">
        <v>151</v>
      </c>
      <c r="C101" s="532">
        <f>(C93+C94)/C92</f>
        <v>0.1642891060978009</v>
      </c>
      <c r="D101" s="533">
        <f aca="true" t="shared" si="34" ref="D101:O101">(D93+D94)/D92</f>
        <v>0.1776064536053061</v>
      </c>
      <c r="E101" s="532">
        <f t="shared" si="34"/>
        <v>0.7050630837293135</v>
      </c>
      <c r="F101" s="533" t="e">
        <f t="shared" si="34"/>
        <v>#DIV/0!</v>
      </c>
      <c r="G101" s="533">
        <f t="shared" si="34"/>
        <v>0.7050630837293135</v>
      </c>
      <c r="H101" s="533" t="e">
        <f t="shared" si="34"/>
        <v>#DIV/0!</v>
      </c>
      <c r="I101" s="533">
        <f t="shared" si="34"/>
        <v>0.06205831422286704</v>
      </c>
      <c r="J101" s="533" t="e">
        <f t="shared" si="34"/>
        <v>#DIV/0!</v>
      </c>
      <c r="K101" s="533" t="e">
        <f t="shared" si="34"/>
        <v>#DIV/0!</v>
      </c>
      <c r="L101" s="533" t="e">
        <f t="shared" si="34"/>
        <v>#DIV/0!</v>
      </c>
      <c r="M101" s="533" t="e">
        <f t="shared" si="34"/>
        <v>#DIV/0!</v>
      </c>
      <c r="N101" s="533" t="e">
        <f t="shared" si="34"/>
        <v>#DIV/0!</v>
      </c>
      <c r="O101" s="533" t="e">
        <f t="shared" si="34"/>
        <v>#DIV/0!</v>
      </c>
    </row>
    <row r="102" ht="15" hidden="1"/>
    <row r="103" ht="15" hidden="1">
      <c r="B103" s="861" t="s">
        <v>745</v>
      </c>
    </row>
    <row r="104" ht="0.75" customHeight="1" hidden="1"/>
    <row r="105" spans="1:15" ht="15" customHeight="1" hidden="1">
      <c r="A105" s="1573" t="s">
        <v>68</v>
      </c>
      <c r="B105" s="1574"/>
      <c r="C105" s="1582" t="s">
        <v>37</v>
      </c>
      <c r="D105" s="1582" t="s">
        <v>335</v>
      </c>
      <c r="E105" s="1583"/>
      <c r="F105" s="1583"/>
      <c r="G105" s="1583"/>
      <c r="H105" s="1583"/>
      <c r="I105" s="1583"/>
      <c r="J105" s="1583"/>
      <c r="K105" s="1583"/>
      <c r="L105" s="1583"/>
      <c r="M105" s="1583"/>
      <c r="N105" s="1583"/>
      <c r="O105" s="1584"/>
    </row>
    <row r="106" spans="1:15" ht="0.75" customHeight="1" hidden="1">
      <c r="A106" s="1575"/>
      <c r="B106" s="1576"/>
      <c r="C106" s="1596"/>
      <c r="D106" s="1586" t="s">
        <v>119</v>
      </c>
      <c r="E106" s="1593" t="s">
        <v>120</v>
      </c>
      <c r="F106" s="1594"/>
      <c r="G106" s="1595"/>
      <c r="H106" s="1569" t="s">
        <v>121</v>
      </c>
      <c r="I106" s="1569" t="s">
        <v>122</v>
      </c>
      <c r="J106" s="1569" t="s">
        <v>198</v>
      </c>
      <c r="K106" s="1569" t="s">
        <v>124</v>
      </c>
      <c r="L106" s="1569" t="s">
        <v>125</v>
      </c>
      <c r="M106" s="1569" t="s">
        <v>126</v>
      </c>
      <c r="N106" s="1569" t="s">
        <v>183</v>
      </c>
      <c r="O106" s="1569" t="s">
        <v>127</v>
      </c>
    </row>
    <row r="107" spans="1:15" ht="15" hidden="1">
      <c r="A107" s="1575"/>
      <c r="B107" s="1576"/>
      <c r="C107" s="1596"/>
      <c r="D107" s="1586"/>
      <c r="E107" s="1568" t="s">
        <v>36</v>
      </c>
      <c r="F107" s="1571" t="s">
        <v>7</v>
      </c>
      <c r="G107" s="1572"/>
      <c r="H107" s="1569"/>
      <c r="I107" s="1569"/>
      <c r="J107" s="1569"/>
      <c r="K107" s="1569"/>
      <c r="L107" s="1569"/>
      <c r="M107" s="1569"/>
      <c r="N107" s="1569"/>
      <c r="O107" s="1569"/>
    </row>
    <row r="108" spans="1:15" ht="15" hidden="1">
      <c r="A108" s="1577"/>
      <c r="B108" s="1578"/>
      <c r="C108" s="1596"/>
      <c r="D108" s="1587"/>
      <c r="E108" s="1570"/>
      <c r="F108" s="559" t="s">
        <v>199</v>
      </c>
      <c r="G108" s="560" t="s">
        <v>200</v>
      </c>
      <c r="H108" s="1570"/>
      <c r="I108" s="1570"/>
      <c r="J108" s="1570"/>
      <c r="K108" s="1570"/>
      <c r="L108" s="1570"/>
      <c r="M108" s="1570"/>
      <c r="N108" s="1570"/>
      <c r="O108" s="1570"/>
    </row>
    <row r="109" spans="1:15" ht="15" hidden="1">
      <c r="A109" s="1566" t="s">
        <v>39</v>
      </c>
      <c r="B109" s="1567"/>
      <c r="C109" s="505">
        <v>1</v>
      </c>
      <c r="D109" s="505">
        <v>2</v>
      </c>
      <c r="E109" s="505">
        <v>3</v>
      </c>
      <c r="F109" s="505">
        <v>4</v>
      </c>
      <c r="G109" s="505">
        <v>5</v>
      </c>
      <c r="H109" s="505">
        <v>6</v>
      </c>
      <c r="I109" s="505">
        <v>7</v>
      </c>
      <c r="J109" s="505">
        <v>8</v>
      </c>
      <c r="K109" s="505">
        <v>9</v>
      </c>
      <c r="L109" s="505">
        <v>10</v>
      </c>
      <c r="M109" s="505">
        <v>11</v>
      </c>
      <c r="N109" s="505">
        <v>12</v>
      </c>
      <c r="O109" s="505">
        <v>13</v>
      </c>
    </row>
    <row r="110" spans="1:15" ht="15" hidden="1">
      <c r="A110" s="506" t="s">
        <v>0</v>
      </c>
      <c r="B110" s="427" t="s">
        <v>130</v>
      </c>
      <c r="C110" s="791">
        <f aca="true" t="shared" si="35" ref="C110:C123">SUM(D110,E110,H110:O110)</f>
        <v>18250569</v>
      </c>
      <c r="D110" s="799">
        <f>SUM(D111:D112)</f>
        <v>16679429</v>
      </c>
      <c r="E110" s="799">
        <f aca="true" t="shared" si="36" ref="E110:J110">SUM(E111:E112)</f>
        <v>1440339</v>
      </c>
      <c r="F110" s="799">
        <f t="shared" si="36"/>
        <v>0</v>
      </c>
      <c r="G110" s="799">
        <f t="shared" si="36"/>
        <v>1440339</v>
      </c>
      <c r="H110" s="799">
        <f t="shared" si="36"/>
        <v>0</v>
      </c>
      <c r="I110" s="799">
        <f t="shared" si="36"/>
        <v>130801</v>
      </c>
      <c r="J110" s="799">
        <f t="shared" si="36"/>
        <v>0</v>
      </c>
      <c r="K110" s="799">
        <f>SUM(K111:K112)</f>
        <v>0</v>
      </c>
      <c r="L110" s="799">
        <f>SUM(L111:L112)</f>
        <v>0</v>
      </c>
      <c r="M110" s="799">
        <f>SUM(M111:M112)</f>
        <v>0</v>
      </c>
      <c r="N110" s="799">
        <f>SUM(N111:N112)</f>
        <v>0</v>
      </c>
      <c r="O110" s="799">
        <f>SUM(O111:O112)</f>
        <v>0</v>
      </c>
    </row>
    <row r="111" spans="1:15" ht="15.75" hidden="1">
      <c r="A111" s="507">
        <v>1</v>
      </c>
      <c r="B111" s="429" t="s">
        <v>131</v>
      </c>
      <c r="C111" s="796">
        <f t="shared" si="35"/>
        <v>16552530</v>
      </c>
      <c r="D111" s="820">
        <v>15377073</v>
      </c>
      <c r="E111" s="801">
        <f aca="true" t="shared" si="37" ref="E111:E121">SUM(F111:G111)</f>
        <v>1118256</v>
      </c>
      <c r="F111" s="406">
        <v>0</v>
      </c>
      <c r="G111" s="406">
        <v>1118256</v>
      </c>
      <c r="H111" s="406">
        <v>0</v>
      </c>
      <c r="I111" s="406">
        <v>57201</v>
      </c>
      <c r="J111" s="406">
        <v>0</v>
      </c>
      <c r="K111" s="406">
        <v>0</v>
      </c>
      <c r="L111" s="882">
        <v>0</v>
      </c>
      <c r="M111" s="882">
        <v>0</v>
      </c>
      <c r="N111" s="882">
        <v>0</v>
      </c>
      <c r="O111" s="882">
        <v>0</v>
      </c>
    </row>
    <row r="112" spans="1:15" ht="15.75" hidden="1">
      <c r="A112" s="507">
        <v>2</v>
      </c>
      <c r="B112" s="429" t="s">
        <v>132</v>
      </c>
      <c r="C112" s="796">
        <f t="shared" si="35"/>
        <v>1698039</v>
      </c>
      <c r="D112" s="820">
        <v>1302356</v>
      </c>
      <c r="E112" s="801">
        <f t="shared" si="37"/>
        <v>322083</v>
      </c>
      <c r="F112" s="406">
        <v>0</v>
      </c>
      <c r="G112" s="406">
        <v>322083</v>
      </c>
      <c r="H112" s="406">
        <v>0</v>
      </c>
      <c r="I112" s="406">
        <v>73600</v>
      </c>
      <c r="J112" s="406">
        <v>0</v>
      </c>
      <c r="K112" s="406">
        <v>0</v>
      </c>
      <c r="L112" s="882">
        <v>0</v>
      </c>
      <c r="M112" s="882">
        <v>0</v>
      </c>
      <c r="N112" s="882">
        <v>0</v>
      </c>
      <c r="O112" s="882">
        <v>0</v>
      </c>
    </row>
    <row r="113" spans="1:15" ht="15.75" hidden="1">
      <c r="A113" s="508" t="s">
        <v>1</v>
      </c>
      <c r="B113" s="394" t="s">
        <v>133</v>
      </c>
      <c r="C113" s="796">
        <f t="shared" si="35"/>
        <v>0</v>
      </c>
      <c r="D113" s="406"/>
      <c r="E113" s="801">
        <f t="shared" si="37"/>
        <v>0</v>
      </c>
      <c r="F113" s="406">
        <v>0</v>
      </c>
      <c r="G113" s="406">
        <v>0</v>
      </c>
      <c r="H113" s="406">
        <v>0</v>
      </c>
      <c r="I113" s="406">
        <v>0</v>
      </c>
      <c r="J113" s="406">
        <v>0</v>
      </c>
      <c r="K113" s="406">
        <v>0</v>
      </c>
      <c r="L113" s="882">
        <v>0</v>
      </c>
      <c r="M113" s="882">
        <v>0</v>
      </c>
      <c r="N113" s="882">
        <v>0</v>
      </c>
      <c r="O113" s="882">
        <v>0</v>
      </c>
    </row>
    <row r="114" spans="1:15" ht="15.75" customHeight="1" hidden="1">
      <c r="A114" s="508" t="s">
        <v>9</v>
      </c>
      <c r="B114" s="394" t="s">
        <v>134</v>
      </c>
      <c r="C114" s="796">
        <f t="shared" si="35"/>
        <v>0</v>
      </c>
      <c r="D114" s="882">
        <v>0</v>
      </c>
      <c r="E114" s="801">
        <f t="shared" si="37"/>
        <v>0</v>
      </c>
      <c r="F114" s="882">
        <v>0</v>
      </c>
      <c r="G114" s="882">
        <v>0</v>
      </c>
      <c r="H114" s="882">
        <v>0</v>
      </c>
      <c r="I114" s="882">
        <v>0</v>
      </c>
      <c r="J114" s="882">
        <v>0</v>
      </c>
      <c r="K114" s="882">
        <v>0</v>
      </c>
      <c r="L114" s="882">
        <v>0</v>
      </c>
      <c r="M114" s="882">
        <v>0</v>
      </c>
      <c r="N114" s="882">
        <v>0</v>
      </c>
      <c r="O114" s="882">
        <v>0</v>
      </c>
    </row>
    <row r="115" spans="1:15" ht="15" hidden="1">
      <c r="A115" s="508" t="s">
        <v>135</v>
      </c>
      <c r="B115" s="394" t="s">
        <v>136</v>
      </c>
      <c r="C115" s="791">
        <f t="shared" si="35"/>
        <v>18250569</v>
      </c>
      <c r="D115" s="792">
        <f>D110-SUM(D113,D114)</f>
        <v>16679429</v>
      </c>
      <c r="E115" s="799">
        <f t="shared" si="37"/>
        <v>1440339</v>
      </c>
      <c r="F115" s="792">
        <f aca="true" t="shared" si="38" ref="F115:O115">F110-SUM(F113,F114)</f>
        <v>0</v>
      </c>
      <c r="G115" s="792">
        <f t="shared" si="38"/>
        <v>1440339</v>
      </c>
      <c r="H115" s="792">
        <f t="shared" si="38"/>
        <v>0</v>
      </c>
      <c r="I115" s="792">
        <f t="shared" si="38"/>
        <v>130801</v>
      </c>
      <c r="J115" s="792">
        <f t="shared" si="38"/>
        <v>0</v>
      </c>
      <c r="K115" s="792">
        <f t="shared" si="38"/>
        <v>0</v>
      </c>
      <c r="L115" s="792">
        <f t="shared" si="38"/>
        <v>0</v>
      </c>
      <c r="M115" s="792">
        <f t="shared" si="38"/>
        <v>0</v>
      </c>
      <c r="N115" s="792">
        <f t="shared" si="38"/>
        <v>0</v>
      </c>
      <c r="O115" s="792">
        <f t="shared" si="38"/>
        <v>0</v>
      </c>
    </row>
    <row r="116" spans="1:15" ht="18.75" customHeight="1" hidden="1">
      <c r="A116" s="508" t="s">
        <v>51</v>
      </c>
      <c r="B116" s="430" t="s">
        <v>137</v>
      </c>
      <c r="C116" s="791">
        <f t="shared" si="35"/>
        <v>4995237</v>
      </c>
      <c r="D116" s="800">
        <f>SUM(D117:D123)</f>
        <v>4739543</v>
      </c>
      <c r="E116" s="799">
        <f t="shared" si="37"/>
        <v>161094</v>
      </c>
      <c r="F116" s="800">
        <f aca="true" t="shared" si="39" ref="F116:O116">SUM(F117:F123)</f>
        <v>0</v>
      </c>
      <c r="G116" s="800">
        <f t="shared" si="39"/>
        <v>161094</v>
      </c>
      <c r="H116" s="800">
        <f t="shared" si="39"/>
        <v>0</v>
      </c>
      <c r="I116" s="800">
        <f t="shared" si="39"/>
        <v>94600</v>
      </c>
      <c r="J116" s="800">
        <f t="shared" si="39"/>
        <v>0</v>
      </c>
      <c r="K116" s="800">
        <f t="shared" si="39"/>
        <v>0</v>
      </c>
      <c r="L116" s="800">
        <f t="shared" si="39"/>
        <v>0</v>
      </c>
      <c r="M116" s="800">
        <f t="shared" si="39"/>
        <v>0</v>
      </c>
      <c r="N116" s="800">
        <f t="shared" si="39"/>
        <v>0</v>
      </c>
      <c r="O116" s="800">
        <f t="shared" si="39"/>
        <v>0</v>
      </c>
    </row>
    <row r="117" spans="1:15" ht="18.75" customHeight="1" hidden="1">
      <c r="A117" s="507" t="s">
        <v>53</v>
      </c>
      <c r="B117" s="429" t="s">
        <v>138</v>
      </c>
      <c r="C117" s="796">
        <f t="shared" si="35"/>
        <v>285483</v>
      </c>
      <c r="D117" s="820">
        <v>169138</v>
      </c>
      <c r="E117" s="801">
        <f t="shared" si="37"/>
        <v>42745</v>
      </c>
      <c r="F117" s="820">
        <v>0</v>
      </c>
      <c r="G117" s="820">
        <v>42745</v>
      </c>
      <c r="H117" s="820">
        <v>0</v>
      </c>
      <c r="I117" s="820">
        <v>73600</v>
      </c>
      <c r="J117" s="820">
        <v>0</v>
      </c>
      <c r="K117" s="820">
        <v>0</v>
      </c>
      <c r="L117" s="820">
        <v>0</v>
      </c>
      <c r="M117" s="406">
        <v>0</v>
      </c>
      <c r="N117" s="406">
        <v>0</v>
      </c>
      <c r="O117" s="982">
        <v>0</v>
      </c>
    </row>
    <row r="118" spans="1:15" ht="15.75" hidden="1">
      <c r="A118" s="507" t="s">
        <v>54</v>
      </c>
      <c r="B118" s="429" t="s">
        <v>139</v>
      </c>
      <c r="C118" s="796">
        <f t="shared" si="35"/>
        <v>24823</v>
      </c>
      <c r="D118" s="820">
        <v>24823</v>
      </c>
      <c r="E118" s="801">
        <f t="shared" si="37"/>
        <v>0</v>
      </c>
      <c r="F118" s="820">
        <v>0</v>
      </c>
      <c r="G118" s="820">
        <v>0</v>
      </c>
      <c r="H118" s="820">
        <v>0</v>
      </c>
      <c r="I118" s="820">
        <v>0</v>
      </c>
      <c r="J118" s="820">
        <v>0</v>
      </c>
      <c r="K118" s="820">
        <v>0</v>
      </c>
      <c r="L118" s="820">
        <v>0</v>
      </c>
      <c r="M118" s="406">
        <v>0</v>
      </c>
      <c r="N118" s="406">
        <v>0</v>
      </c>
      <c r="O118" s="982">
        <v>0</v>
      </c>
    </row>
    <row r="119" spans="1:15" ht="15.75" hidden="1">
      <c r="A119" s="507" t="s">
        <v>140</v>
      </c>
      <c r="B119" s="429" t="s">
        <v>141</v>
      </c>
      <c r="C119" s="796">
        <f t="shared" si="35"/>
        <v>3231589</v>
      </c>
      <c r="D119" s="820">
        <v>3128856</v>
      </c>
      <c r="E119" s="801">
        <f t="shared" si="37"/>
        <v>81733</v>
      </c>
      <c r="F119" s="820">
        <v>0</v>
      </c>
      <c r="G119" s="820">
        <v>81733</v>
      </c>
      <c r="H119" s="820">
        <v>0</v>
      </c>
      <c r="I119" s="820">
        <v>21000</v>
      </c>
      <c r="J119" s="820">
        <v>0</v>
      </c>
      <c r="K119" s="820">
        <v>0</v>
      </c>
      <c r="L119" s="820">
        <v>0</v>
      </c>
      <c r="M119" s="406">
        <v>0</v>
      </c>
      <c r="N119" s="406">
        <v>0</v>
      </c>
      <c r="O119" s="982">
        <v>0</v>
      </c>
    </row>
    <row r="120" spans="1:15" ht="15.75" hidden="1">
      <c r="A120" s="507" t="s">
        <v>142</v>
      </c>
      <c r="B120" s="429" t="s">
        <v>143</v>
      </c>
      <c r="C120" s="796">
        <f t="shared" si="35"/>
        <v>1388726</v>
      </c>
      <c r="D120" s="820">
        <v>1388726</v>
      </c>
      <c r="E120" s="801">
        <f t="shared" si="37"/>
        <v>0</v>
      </c>
      <c r="F120" s="820">
        <v>0</v>
      </c>
      <c r="G120" s="820">
        <v>0</v>
      </c>
      <c r="H120" s="820">
        <v>0</v>
      </c>
      <c r="I120" s="820">
        <v>0</v>
      </c>
      <c r="J120" s="820">
        <v>0</v>
      </c>
      <c r="K120" s="820">
        <v>0</v>
      </c>
      <c r="L120" s="820">
        <v>0</v>
      </c>
      <c r="M120" s="406">
        <v>0</v>
      </c>
      <c r="N120" s="406">
        <v>0</v>
      </c>
      <c r="O120" s="982">
        <v>0</v>
      </c>
    </row>
    <row r="121" spans="1:15" ht="0.75" customHeight="1" hidden="1">
      <c r="A121" s="507" t="s">
        <v>144</v>
      </c>
      <c r="B121" s="429" t="s">
        <v>145</v>
      </c>
      <c r="C121" s="796">
        <f t="shared" si="35"/>
        <v>0</v>
      </c>
      <c r="D121" s="820">
        <v>0</v>
      </c>
      <c r="E121" s="801">
        <f t="shared" si="37"/>
        <v>0</v>
      </c>
      <c r="F121" s="820">
        <v>0</v>
      </c>
      <c r="G121" s="820">
        <v>0</v>
      </c>
      <c r="H121" s="820">
        <v>0</v>
      </c>
      <c r="I121" s="820">
        <v>0</v>
      </c>
      <c r="J121" s="820">
        <v>0</v>
      </c>
      <c r="K121" s="820">
        <v>0</v>
      </c>
      <c r="L121" s="820">
        <v>0</v>
      </c>
      <c r="M121" s="982">
        <v>0</v>
      </c>
      <c r="N121" s="982">
        <v>0</v>
      </c>
      <c r="O121" s="982">
        <v>0</v>
      </c>
    </row>
    <row r="122" spans="1:15" ht="25.5" hidden="1">
      <c r="A122" s="507" t="s">
        <v>146</v>
      </c>
      <c r="B122" s="431" t="s">
        <v>147</v>
      </c>
      <c r="C122" s="796">
        <f t="shared" si="35"/>
        <v>0</v>
      </c>
      <c r="D122" s="820">
        <v>0</v>
      </c>
      <c r="E122" s="801">
        <f>SUM(F122:G122)</f>
        <v>0</v>
      </c>
      <c r="F122" s="820">
        <v>0</v>
      </c>
      <c r="G122" s="820">
        <v>0</v>
      </c>
      <c r="H122" s="820">
        <v>0</v>
      </c>
      <c r="I122" s="820">
        <v>0</v>
      </c>
      <c r="J122" s="820">
        <v>0</v>
      </c>
      <c r="K122" s="820">
        <v>0</v>
      </c>
      <c r="L122" s="820">
        <v>0</v>
      </c>
      <c r="M122" s="982">
        <v>0</v>
      </c>
      <c r="N122" s="982">
        <v>0</v>
      </c>
      <c r="O122" s="982">
        <v>0</v>
      </c>
    </row>
    <row r="123" spans="1:15" ht="20.25" customHeight="1" hidden="1">
      <c r="A123" s="507" t="s">
        <v>148</v>
      </c>
      <c r="B123" s="429" t="s">
        <v>149</v>
      </c>
      <c r="C123" s="796">
        <f t="shared" si="35"/>
        <v>64616</v>
      </c>
      <c r="D123" s="820">
        <v>28000</v>
      </c>
      <c r="E123" s="801">
        <f>SUM(F123:G123)</f>
        <v>36616</v>
      </c>
      <c r="F123" s="820">
        <v>0</v>
      </c>
      <c r="G123" s="820">
        <v>36616</v>
      </c>
      <c r="H123" s="820">
        <v>0</v>
      </c>
      <c r="I123" s="820">
        <v>0</v>
      </c>
      <c r="J123" s="820">
        <v>0</v>
      </c>
      <c r="K123" s="820">
        <v>0</v>
      </c>
      <c r="L123" s="820">
        <v>0</v>
      </c>
      <c r="M123" s="982">
        <v>0</v>
      </c>
      <c r="N123" s="982">
        <v>0</v>
      </c>
      <c r="O123" s="982">
        <v>0</v>
      </c>
    </row>
    <row r="124" spans="1:15" ht="21" customHeight="1" hidden="1">
      <c r="A124" s="508" t="s">
        <v>52</v>
      </c>
      <c r="B124" s="394" t="s">
        <v>150</v>
      </c>
      <c r="C124" s="807">
        <f>C110-C113-C114-C116</f>
        <v>13255332</v>
      </c>
      <c r="D124" s="807">
        <f>D110-D113-D114-D116</f>
        <v>11939886</v>
      </c>
      <c r="E124" s="807">
        <f aca="true" t="shared" si="40" ref="E124:O124">E115-E116</f>
        <v>1279245</v>
      </c>
      <c r="F124" s="807">
        <f t="shared" si="40"/>
        <v>0</v>
      </c>
      <c r="G124" s="807">
        <f t="shared" si="40"/>
        <v>1279245</v>
      </c>
      <c r="H124" s="807">
        <f t="shared" si="40"/>
        <v>0</v>
      </c>
      <c r="I124" s="807">
        <f t="shared" si="40"/>
        <v>36201</v>
      </c>
      <c r="J124" s="807">
        <f t="shared" si="40"/>
        <v>0</v>
      </c>
      <c r="K124" s="807">
        <f t="shared" si="40"/>
        <v>0</v>
      </c>
      <c r="L124" s="807">
        <f t="shared" si="40"/>
        <v>0</v>
      </c>
      <c r="M124" s="807">
        <f t="shared" si="40"/>
        <v>0</v>
      </c>
      <c r="N124" s="807">
        <f t="shared" si="40"/>
        <v>0</v>
      </c>
      <c r="O124" s="807">
        <f t="shared" si="40"/>
        <v>0</v>
      </c>
    </row>
    <row r="125" spans="1:15" ht="15" customHeight="1" hidden="1">
      <c r="A125" s="534" t="s">
        <v>538</v>
      </c>
      <c r="B125" s="470" t="s">
        <v>151</v>
      </c>
      <c r="C125" s="532">
        <f>(C117+C118)/C116</f>
        <v>0.06212037587005381</v>
      </c>
      <c r="D125" s="533">
        <f aca="true" t="shared" si="41" ref="D125:O125">(D117+D118)/D116</f>
        <v>0.04092398781907876</v>
      </c>
      <c r="E125" s="532">
        <f t="shared" si="41"/>
        <v>0.2653419742510584</v>
      </c>
      <c r="F125" s="533" t="e">
        <f t="shared" si="41"/>
        <v>#DIV/0!</v>
      </c>
      <c r="G125" s="533">
        <f t="shared" si="41"/>
        <v>0.2653419742510584</v>
      </c>
      <c r="H125" s="533" t="e">
        <f t="shared" si="41"/>
        <v>#DIV/0!</v>
      </c>
      <c r="I125" s="533">
        <f t="shared" si="41"/>
        <v>0.7780126849894292</v>
      </c>
      <c r="J125" s="533" t="e">
        <f t="shared" si="41"/>
        <v>#DIV/0!</v>
      </c>
      <c r="K125" s="533" t="e">
        <f t="shared" si="41"/>
        <v>#DIV/0!</v>
      </c>
      <c r="L125" s="533" t="e">
        <f t="shared" si="41"/>
        <v>#DIV/0!</v>
      </c>
      <c r="M125" s="533" t="e">
        <f t="shared" si="41"/>
        <v>#DIV/0!</v>
      </c>
      <c r="N125" s="533" t="e">
        <f t="shared" si="41"/>
        <v>#DIV/0!</v>
      </c>
      <c r="O125" s="533" t="e">
        <f t="shared" si="41"/>
        <v>#DIV/0!</v>
      </c>
    </row>
    <row r="126" ht="16.5" customHeight="1" hidden="1"/>
    <row r="127" ht="15" hidden="1">
      <c r="B127" s="861" t="s">
        <v>749</v>
      </c>
    </row>
    <row r="128" ht="15" hidden="1"/>
    <row r="129" spans="1:15" ht="15" hidden="1">
      <c r="A129" s="1573" t="s">
        <v>68</v>
      </c>
      <c r="B129" s="1574"/>
      <c r="C129" s="1582" t="s">
        <v>37</v>
      </c>
      <c r="D129" s="1582" t="s">
        <v>335</v>
      </c>
      <c r="E129" s="1583"/>
      <c r="F129" s="1583"/>
      <c r="G129" s="1583"/>
      <c r="H129" s="1583"/>
      <c r="I129" s="1583"/>
      <c r="J129" s="1583"/>
      <c r="K129" s="1583"/>
      <c r="L129" s="1583"/>
      <c r="M129" s="1583"/>
      <c r="N129" s="1583"/>
      <c r="O129" s="1584"/>
    </row>
    <row r="130" spans="1:15" ht="15" hidden="1">
      <c r="A130" s="1575"/>
      <c r="B130" s="1576"/>
      <c r="C130" s="1596"/>
      <c r="D130" s="1586" t="s">
        <v>119</v>
      </c>
      <c r="E130" s="1593" t="s">
        <v>120</v>
      </c>
      <c r="F130" s="1594"/>
      <c r="G130" s="1595"/>
      <c r="H130" s="1569" t="s">
        <v>121</v>
      </c>
      <c r="I130" s="1569" t="s">
        <v>122</v>
      </c>
      <c r="J130" s="1569" t="s">
        <v>198</v>
      </c>
      <c r="K130" s="1569" t="s">
        <v>124</v>
      </c>
      <c r="L130" s="1569" t="s">
        <v>125</v>
      </c>
      <c r="M130" s="1569" t="s">
        <v>126</v>
      </c>
      <c r="N130" s="1569" t="s">
        <v>183</v>
      </c>
      <c r="O130" s="1569" t="s">
        <v>127</v>
      </c>
    </row>
    <row r="131" spans="1:15" ht="15" hidden="1">
      <c r="A131" s="1575"/>
      <c r="B131" s="1576"/>
      <c r="C131" s="1596"/>
      <c r="D131" s="1586"/>
      <c r="E131" s="1568" t="s">
        <v>36</v>
      </c>
      <c r="F131" s="1571" t="s">
        <v>7</v>
      </c>
      <c r="G131" s="1572"/>
      <c r="H131" s="1569"/>
      <c r="I131" s="1569"/>
      <c r="J131" s="1569"/>
      <c r="K131" s="1569"/>
      <c r="L131" s="1569"/>
      <c r="M131" s="1569"/>
      <c r="N131" s="1569"/>
      <c r="O131" s="1569"/>
    </row>
    <row r="132" spans="1:15" ht="12.75" customHeight="1" hidden="1">
      <c r="A132" s="1577"/>
      <c r="B132" s="1578"/>
      <c r="C132" s="1596"/>
      <c r="D132" s="1587"/>
      <c r="E132" s="1570"/>
      <c r="F132" s="559" t="s">
        <v>199</v>
      </c>
      <c r="G132" s="560" t="s">
        <v>200</v>
      </c>
      <c r="H132" s="1570"/>
      <c r="I132" s="1570"/>
      <c r="J132" s="1570"/>
      <c r="K132" s="1570"/>
      <c r="L132" s="1570"/>
      <c r="M132" s="1570"/>
      <c r="N132" s="1570"/>
      <c r="O132" s="1570"/>
    </row>
    <row r="133" spans="1:15" ht="15" hidden="1">
      <c r="A133" s="1566" t="s">
        <v>39</v>
      </c>
      <c r="B133" s="1567"/>
      <c r="C133" s="505">
        <v>1</v>
      </c>
      <c r="D133" s="505">
        <v>2</v>
      </c>
      <c r="E133" s="505">
        <v>3</v>
      </c>
      <c r="F133" s="505">
        <v>4</v>
      </c>
      <c r="G133" s="505">
        <v>5</v>
      </c>
      <c r="H133" s="505">
        <v>6</v>
      </c>
      <c r="I133" s="505">
        <v>7</v>
      </c>
      <c r="J133" s="505">
        <v>8</v>
      </c>
      <c r="K133" s="505">
        <v>9</v>
      </c>
      <c r="L133" s="505">
        <v>10</v>
      </c>
      <c r="M133" s="505">
        <v>11</v>
      </c>
      <c r="N133" s="505">
        <v>12</v>
      </c>
      <c r="O133" s="505">
        <v>13</v>
      </c>
    </row>
    <row r="134" spans="1:15" ht="16.5" customHeight="1" hidden="1">
      <c r="A134" s="506" t="s">
        <v>0</v>
      </c>
      <c r="B134" s="427" t="s">
        <v>130</v>
      </c>
      <c r="C134" s="791">
        <f aca="true" t="shared" si="42" ref="C134:C147">SUM(D134,E134,H134:O134)</f>
        <v>12483783</v>
      </c>
      <c r="D134" s="799">
        <f>SUM(D135:D136)</f>
        <v>3652997</v>
      </c>
      <c r="E134" s="799">
        <f aca="true" t="shared" si="43" ref="E134:J134">SUM(E135:E136)</f>
        <v>1089652</v>
      </c>
      <c r="F134" s="799">
        <f t="shared" si="43"/>
        <v>0</v>
      </c>
      <c r="G134" s="799">
        <f t="shared" si="43"/>
        <v>1089652</v>
      </c>
      <c r="H134" s="799">
        <f t="shared" si="43"/>
        <v>0</v>
      </c>
      <c r="I134" s="799">
        <f t="shared" si="43"/>
        <v>285846</v>
      </c>
      <c r="J134" s="799">
        <f t="shared" si="43"/>
        <v>7455288</v>
      </c>
      <c r="K134" s="799">
        <f>SUM(K135:K136)</f>
        <v>0</v>
      </c>
      <c r="L134" s="799">
        <f>SUM(L135:L136)</f>
        <v>0</v>
      </c>
      <c r="M134" s="799">
        <f>SUM(M135:M136)</f>
        <v>0</v>
      </c>
      <c r="N134" s="799">
        <f>SUM(N135:N136)</f>
        <v>0</v>
      </c>
      <c r="O134" s="799">
        <f>SUM(O135:O136)</f>
        <v>0</v>
      </c>
    </row>
    <row r="135" spans="1:15" ht="15" hidden="1">
      <c r="A135" s="507">
        <v>1</v>
      </c>
      <c r="B135" s="429" t="s">
        <v>131</v>
      </c>
      <c r="C135" s="796">
        <f t="shared" si="42"/>
        <v>10214262</v>
      </c>
      <c r="D135" s="941">
        <v>1837349</v>
      </c>
      <c r="E135" s="801">
        <f aca="true" t="shared" si="44" ref="E135:E140">SUM(F135:G135)</f>
        <v>786652</v>
      </c>
      <c r="F135" s="941"/>
      <c r="G135" s="941">
        <v>786652</v>
      </c>
      <c r="H135" s="941"/>
      <c r="I135" s="941">
        <v>134973</v>
      </c>
      <c r="J135" s="941">
        <v>7455288</v>
      </c>
      <c r="K135" s="941"/>
      <c r="L135" s="941"/>
      <c r="M135" s="941"/>
      <c r="N135" s="941"/>
      <c r="O135" s="941"/>
    </row>
    <row r="136" spans="1:15" ht="16.5" customHeight="1" hidden="1">
      <c r="A136" s="507">
        <v>2</v>
      </c>
      <c r="B136" s="429" t="s">
        <v>132</v>
      </c>
      <c r="C136" s="796">
        <f t="shared" si="42"/>
        <v>2269521</v>
      </c>
      <c r="D136" s="941">
        <v>1815648</v>
      </c>
      <c r="E136" s="801">
        <f t="shared" si="44"/>
        <v>303000</v>
      </c>
      <c r="F136" s="941"/>
      <c r="G136" s="941">
        <v>303000</v>
      </c>
      <c r="H136" s="941"/>
      <c r="I136" s="941">
        <v>150873</v>
      </c>
      <c r="J136" s="941"/>
      <c r="K136" s="941"/>
      <c r="L136" s="941"/>
      <c r="M136" s="941"/>
      <c r="N136" s="941"/>
      <c r="O136" s="941"/>
    </row>
    <row r="137" spans="1:15" ht="15" hidden="1">
      <c r="A137" s="508" t="s">
        <v>1</v>
      </c>
      <c r="B137" s="394" t="s">
        <v>133</v>
      </c>
      <c r="C137" s="796">
        <f t="shared" si="42"/>
        <v>7455288</v>
      </c>
      <c r="D137" s="877"/>
      <c r="E137" s="801">
        <f t="shared" si="44"/>
        <v>0</v>
      </c>
      <c r="F137" s="877"/>
      <c r="G137" s="877"/>
      <c r="H137" s="877"/>
      <c r="I137" s="877"/>
      <c r="J137" s="877">
        <v>7455288</v>
      </c>
      <c r="K137" s="877"/>
      <c r="L137" s="877"/>
      <c r="M137" s="877"/>
      <c r="N137" s="877"/>
      <c r="O137" s="877"/>
    </row>
    <row r="138" spans="1:15" ht="15" hidden="1">
      <c r="A138" s="508" t="s">
        <v>9</v>
      </c>
      <c r="B138" s="394" t="s">
        <v>134</v>
      </c>
      <c r="C138" s="796">
        <f t="shared" si="42"/>
        <v>0</v>
      </c>
      <c r="D138" s="876"/>
      <c r="E138" s="801">
        <f t="shared" si="44"/>
        <v>0</v>
      </c>
      <c r="F138" s="877"/>
      <c r="G138" s="877"/>
      <c r="H138" s="877"/>
      <c r="I138" s="877"/>
      <c r="J138" s="877"/>
      <c r="K138" s="877"/>
      <c r="L138" s="877"/>
      <c r="M138" s="877"/>
      <c r="N138" s="877"/>
      <c r="O138" s="877"/>
    </row>
    <row r="139" spans="1:15" ht="15" hidden="1">
      <c r="A139" s="508" t="s">
        <v>135</v>
      </c>
      <c r="B139" s="394" t="s">
        <v>136</v>
      </c>
      <c r="C139" s="791">
        <f t="shared" si="42"/>
        <v>5028495</v>
      </c>
      <c r="D139" s="792">
        <f>D134-SUM(D137,D138)</f>
        <v>3652997</v>
      </c>
      <c r="E139" s="799">
        <f t="shared" si="44"/>
        <v>1089652</v>
      </c>
      <c r="F139" s="792">
        <f aca="true" t="shared" si="45" ref="F139:O139">F134-SUM(F137,F138)</f>
        <v>0</v>
      </c>
      <c r="G139" s="792">
        <f t="shared" si="45"/>
        <v>1089652</v>
      </c>
      <c r="H139" s="792">
        <f t="shared" si="45"/>
        <v>0</v>
      </c>
      <c r="I139" s="792">
        <f t="shared" si="45"/>
        <v>285846</v>
      </c>
      <c r="J139" s="792">
        <f t="shared" si="45"/>
        <v>0</v>
      </c>
      <c r="K139" s="792">
        <f t="shared" si="45"/>
        <v>0</v>
      </c>
      <c r="L139" s="792">
        <f t="shared" si="45"/>
        <v>0</v>
      </c>
      <c r="M139" s="792">
        <f t="shared" si="45"/>
        <v>0</v>
      </c>
      <c r="N139" s="792">
        <f t="shared" si="45"/>
        <v>0</v>
      </c>
      <c r="O139" s="792">
        <f t="shared" si="45"/>
        <v>0</v>
      </c>
    </row>
    <row r="140" spans="1:15" ht="15" hidden="1">
      <c r="A140" s="508" t="s">
        <v>51</v>
      </c>
      <c r="B140" s="430" t="s">
        <v>137</v>
      </c>
      <c r="C140" s="791">
        <f t="shared" si="42"/>
        <v>1802027</v>
      </c>
      <c r="D140" s="800">
        <f>SUM(D141:D147)</f>
        <v>1640626</v>
      </c>
      <c r="E140" s="799">
        <f t="shared" si="44"/>
        <v>10000</v>
      </c>
      <c r="F140" s="800">
        <f aca="true" t="shared" si="46" ref="F140:O140">SUM(F141:F147)</f>
        <v>0</v>
      </c>
      <c r="G140" s="800">
        <f t="shared" si="46"/>
        <v>10000</v>
      </c>
      <c r="H140" s="800">
        <f t="shared" si="46"/>
        <v>0</v>
      </c>
      <c r="I140" s="800">
        <f t="shared" si="46"/>
        <v>151401</v>
      </c>
      <c r="J140" s="800">
        <f t="shared" si="46"/>
        <v>0</v>
      </c>
      <c r="K140" s="800">
        <f t="shared" si="46"/>
        <v>0</v>
      </c>
      <c r="L140" s="800">
        <f t="shared" si="46"/>
        <v>0</v>
      </c>
      <c r="M140" s="800">
        <f t="shared" si="46"/>
        <v>0</v>
      </c>
      <c r="N140" s="800">
        <f t="shared" si="46"/>
        <v>0</v>
      </c>
      <c r="O140" s="800">
        <f t="shared" si="46"/>
        <v>0</v>
      </c>
    </row>
    <row r="141" spans="1:15" ht="0.75" customHeight="1" hidden="1">
      <c r="A141" s="507" t="s">
        <v>53</v>
      </c>
      <c r="B141" s="429" t="s">
        <v>138</v>
      </c>
      <c r="C141" s="796">
        <f t="shared" si="42"/>
        <v>753949</v>
      </c>
      <c r="D141" s="878">
        <v>652549</v>
      </c>
      <c r="E141" s="949">
        <f>F141+G141</f>
        <v>10000</v>
      </c>
      <c r="F141" s="878"/>
      <c r="G141" s="878">
        <v>10000</v>
      </c>
      <c r="H141" s="878"/>
      <c r="I141" s="878">
        <v>91400</v>
      </c>
      <c r="J141" s="878"/>
      <c r="K141" s="878"/>
      <c r="L141" s="878"/>
      <c r="M141" s="878"/>
      <c r="N141" s="877"/>
      <c r="O141" s="877"/>
    </row>
    <row r="142" spans="1:15" ht="15" hidden="1">
      <c r="A142" s="507" t="s">
        <v>54</v>
      </c>
      <c r="B142" s="429" t="s">
        <v>139</v>
      </c>
      <c r="C142" s="796">
        <f t="shared" si="42"/>
        <v>41970</v>
      </c>
      <c r="D142" s="878">
        <v>41970</v>
      </c>
      <c r="E142" s="949">
        <f>F142+G142</f>
        <v>0</v>
      </c>
      <c r="F142" s="878"/>
      <c r="G142" s="878"/>
      <c r="H142" s="878"/>
      <c r="I142" s="878"/>
      <c r="J142" s="878"/>
      <c r="K142" s="878"/>
      <c r="L142" s="878"/>
      <c r="M142" s="878"/>
      <c r="N142" s="877"/>
      <c r="O142" s="877"/>
    </row>
    <row r="143" spans="1:15" ht="18" customHeight="1" hidden="1">
      <c r="A143" s="507" t="s">
        <v>140</v>
      </c>
      <c r="B143" s="429" t="s">
        <v>141</v>
      </c>
      <c r="C143" s="796">
        <f t="shared" si="42"/>
        <v>856108</v>
      </c>
      <c r="D143" s="878">
        <v>796107</v>
      </c>
      <c r="E143" s="949">
        <f>F143+G143</f>
        <v>0</v>
      </c>
      <c r="F143" s="878"/>
      <c r="G143" s="878">
        <v>0</v>
      </c>
      <c r="H143" s="878"/>
      <c r="I143" s="878">
        <v>60001</v>
      </c>
      <c r="J143" s="878"/>
      <c r="K143" s="878"/>
      <c r="L143" s="878"/>
      <c r="M143" s="878"/>
      <c r="N143" s="877"/>
      <c r="O143" s="877">
        <v>0</v>
      </c>
    </row>
    <row r="144" spans="1:15" ht="15" hidden="1">
      <c r="A144" s="507" t="s">
        <v>142</v>
      </c>
      <c r="B144" s="429" t="s">
        <v>143</v>
      </c>
      <c r="C144" s="796">
        <f t="shared" si="42"/>
        <v>150000</v>
      </c>
      <c r="D144" s="878">
        <v>150000</v>
      </c>
      <c r="E144" s="949">
        <f>F144+G144</f>
        <v>0</v>
      </c>
      <c r="F144" s="878"/>
      <c r="G144" s="878"/>
      <c r="H144" s="878"/>
      <c r="I144" s="878"/>
      <c r="J144" s="878"/>
      <c r="K144" s="878"/>
      <c r="L144" s="878"/>
      <c r="M144" s="878"/>
      <c r="N144" s="878"/>
      <c r="O144" s="878"/>
    </row>
    <row r="145" spans="1:15" ht="15" hidden="1">
      <c r="A145" s="507" t="s">
        <v>144</v>
      </c>
      <c r="B145" s="429" t="s">
        <v>145</v>
      </c>
      <c r="C145" s="796">
        <f t="shared" si="42"/>
        <v>0</v>
      </c>
      <c r="D145" s="878"/>
      <c r="E145" s="949">
        <f>F145+G145</f>
        <v>0</v>
      </c>
      <c r="F145" s="922"/>
      <c r="G145" s="922"/>
      <c r="H145" s="922"/>
      <c r="I145" s="922"/>
      <c r="J145" s="922"/>
      <c r="K145" s="922"/>
      <c r="L145" s="878"/>
      <c r="M145" s="878"/>
      <c r="N145" s="878"/>
      <c r="O145" s="878"/>
    </row>
    <row r="146" spans="1:15" ht="25.5" hidden="1">
      <c r="A146" s="507" t="s">
        <v>146</v>
      </c>
      <c r="B146" s="431" t="s">
        <v>147</v>
      </c>
      <c r="C146" s="796">
        <f t="shared" si="42"/>
        <v>0</v>
      </c>
      <c r="D146" s="878"/>
      <c r="E146" s="801">
        <f>SUM(F146:G146)</f>
        <v>0</v>
      </c>
      <c r="F146" s="878"/>
      <c r="G146" s="878"/>
      <c r="H146" s="878"/>
      <c r="I146" s="878"/>
      <c r="J146" s="878"/>
      <c r="K146" s="878"/>
      <c r="L146" s="878"/>
      <c r="M146" s="878"/>
      <c r="N146" s="878"/>
      <c r="O146" s="878"/>
    </row>
    <row r="147" spans="1:15" ht="15" hidden="1">
      <c r="A147" s="507" t="s">
        <v>148</v>
      </c>
      <c r="B147" s="429" t="s">
        <v>149</v>
      </c>
      <c r="C147" s="796">
        <f t="shared" si="42"/>
        <v>0</v>
      </c>
      <c r="D147" s="878"/>
      <c r="E147" s="801">
        <f>SUM(F147:G147)</f>
        <v>0</v>
      </c>
      <c r="F147" s="878"/>
      <c r="G147" s="878"/>
      <c r="H147" s="878"/>
      <c r="I147" s="878"/>
      <c r="J147" s="878"/>
      <c r="K147" s="878"/>
      <c r="L147" s="878"/>
      <c r="M147" s="878"/>
      <c r="N147" s="877"/>
      <c r="O147" s="877"/>
    </row>
    <row r="148" spans="1:15" ht="19.5" customHeight="1" hidden="1">
      <c r="A148" s="508" t="s">
        <v>52</v>
      </c>
      <c r="B148" s="394" t="s">
        <v>150</v>
      </c>
      <c r="C148" s="807">
        <f>C134-C137-C138-C140</f>
        <v>3226468</v>
      </c>
      <c r="D148" s="807">
        <f>D139-D140</f>
        <v>2012371</v>
      </c>
      <c r="E148" s="807">
        <f aca="true" t="shared" si="47" ref="E148:O148">E139-E140</f>
        <v>1079652</v>
      </c>
      <c r="F148" s="807">
        <f t="shared" si="47"/>
        <v>0</v>
      </c>
      <c r="G148" s="807">
        <f t="shared" si="47"/>
        <v>1079652</v>
      </c>
      <c r="H148" s="807">
        <f t="shared" si="47"/>
        <v>0</v>
      </c>
      <c r="I148" s="807">
        <f t="shared" si="47"/>
        <v>134445</v>
      </c>
      <c r="J148" s="807">
        <f t="shared" si="47"/>
        <v>0</v>
      </c>
      <c r="K148" s="807">
        <f t="shared" si="47"/>
        <v>0</v>
      </c>
      <c r="L148" s="807">
        <f t="shared" si="47"/>
        <v>0</v>
      </c>
      <c r="M148" s="807">
        <f t="shared" si="47"/>
        <v>0</v>
      </c>
      <c r="N148" s="807">
        <f t="shared" si="47"/>
        <v>0</v>
      </c>
      <c r="O148" s="807">
        <f t="shared" si="47"/>
        <v>0</v>
      </c>
    </row>
    <row r="149" spans="1:15" ht="24.75" customHeight="1" hidden="1">
      <c r="A149" s="534" t="s">
        <v>538</v>
      </c>
      <c r="B149" s="470" t="s">
        <v>151</v>
      </c>
      <c r="C149" s="532">
        <f>(C141+C142)/C140</f>
        <v>0.441679841644992</v>
      </c>
      <c r="D149" s="533">
        <f aca="true" t="shared" si="48" ref="D149:O149">(D141+D142)/D140</f>
        <v>0.42332560863962904</v>
      </c>
      <c r="E149" s="532">
        <f t="shared" si="48"/>
        <v>1</v>
      </c>
      <c r="F149" s="533" t="e">
        <f t="shared" si="48"/>
        <v>#DIV/0!</v>
      </c>
      <c r="G149" s="533">
        <f t="shared" si="48"/>
        <v>1</v>
      </c>
      <c r="H149" s="533" t="e">
        <f t="shared" si="48"/>
        <v>#DIV/0!</v>
      </c>
      <c r="I149" s="533">
        <f t="shared" si="48"/>
        <v>0.6036948236801606</v>
      </c>
      <c r="J149" s="533" t="e">
        <f t="shared" si="48"/>
        <v>#DIV/0!</v>
      </c>
      <c r="K149" s="533" t="e">
        <f t="shared" si="48"/>
        <v>#DIV/0!</v>
      </c>
      <c r="L149" s="533" t="e">
        <f t="shared" si="48"/>
        <v>#DIV/0!</v>
      </c>
      <c r="M149" s="533" t="e">
        <f t="shared" si="48"/>
        <v>#DIV/0!</v>
      </c>
      <c r="N149" s="533" t="e">
        <f t="shared" si="48"/>
        <v>#DIV/0!</v>
      </c>
      <c r="O149" s="533" t="e">
        <f t="shared" si="48"/>
        <v>#DIV/0!</v>
      </c>
    </row>
    <row r="150" ht="15" hidden="1"/>
    <row r="151" ht="27" customHeight="1" hidden="1">
      <c r="B151" s="861" t="s">
        <v>746</v>
      </c>
    </row>
    <row r="152" spans="1:15" ht="15" hidden="1">
      <c r="A152" s="1573" t="s">
        <v>68</v>
      </c>
      <c r="B152" s="1574"/>
      <c r="C152" s="1582" t="s">
        <v>37</v>
      </c>
      <c r="D152" s="1582" t="s">
        <v>335</v>
      </c>
      <c r="E152" s="1583"/>
      <c r="F152" s="1583"/>
      <c r="G152" s="1583"/>
      <c r="H152" s="1583"/>
      <c r="I152" s="1583"/>
      <c r="J152" s="1583"/>
      <c r="K152" s="1583"/>
      <c r="L152" s="1583"/>
      <c r="M152" s="1583"/>
      <c r="N152" s="1583"/>
      <c r="O152" s="1584"/>
    </row>
    <row r="153" spans="1:15" ht="15" hidden="1">
      <c r="A153" s="1575"/>
      <c r="B153" s="1576"/>
      <c r="C153" s="1596"/>
      <c r="D153" s="1586" t="s">
        <v>119</v>
      </c>
      <c r="E153" s="1593" t="s">
        <v>120</v>
      </c>
      <c r="F153" s="1594"/>
      <c r="G153" s="1595"/>
      <c r="H153" s="1569" t="s">
        <v>121</v>
      </c>
      <c r="I153" s="1569" t="s">
        <v>122</v>
      </c>
      <c r="J153" s="1569" t="s">
        <v>198</v>
      </c>
      <c r="K153" s="1569" t="s">
        <v>124</v>
      </c>
      <c r="L153" s="1569" t="s">
        <v>125</v>
      </c>
      <c r="M153" s="1569" t="s">
        <v>126</v>
      </c>
      <c r="N153" s="1569" t="s">
        <v>183</v>
      </c>
      <c r="O153" s="1569" t="s">
        <v>127</v>
      </c>
    </row>
    <row r="154" spans="1:15" ht="15.75" customHeight="1" hidden="1">
      <c r="A154" s="1575"/>
      <c r="B154" s="1576"/>
      <c r="C154" s="1596"/>
      <c r="D154" s="1586"/>
      <c r="E154" s="1568" t="s">
        <v>36</v>
      </c>
      <c r="F154" s="1571" t="s">
        <v>7</v>
      </c>
      <c r="G154" s="1572"/>
      <c r="H154" s="1569"/>
      <c r="I154" s="1569"/>
      <c r="J154" s="1569"/>
      <c r="K154" s="1569"/>
      <c r="L154" s="1569"/>
      <c r="M154" s="1569"/>
      <c r="N154" s="1569"/>
      <c r="O154" s="1569"/>
    </row>
    <row r="155" spans="1:15" ht="19.5" customHeight="1" hidden="1">
      <c r="A155" s="1577"/>
      <c r="B155" s="1578"/>
      <c r="C155" s="1596"/>
      <c r="D155" s="1587"/>
      <c r="E155" s="1570"/>
      <c r="F155" s="559" t="s">
        <v>199</v>
      </c>
      <c r="G155" s="560" t="s">
        <v>200</v>
      </c>
      <c r="H155" s="1570"/>
      <c r="I155" s="1570"/>
      <c r="J155" s="1570"/>
      <c r="K155" s="1570"/>
      <c r="L155" s="1570"/>
      <c r="M155" s="1570"/>
      <c r="N155" s="1570"/>
      <c r="O155" s="1570"/>
    </row>
    <row r="156" spans="1:15" ht="18.75" customHeight="1" hidden="1">
      <c r="A156" s="1566" t="s">
        <v>39</v>
      </c>
      <c r="B156" s="1567"/>
      <c r="C156" s="505">
        <v>1</v>
      </c>
      <c r="D156" s="505">
        <v>2</v>
      </c>
      <c r="E156" s="505">
        <v>3</v>
      </c>
      <c r="F156" s="505">
        <v>4</v>
      </c>
      <c r="G156" s="505">
        <v>5</v>
      </c>
      <c r="H156" s="505">
        <v>6</v>
      </c>
      <c r="I156" s="505">
        <v>7</v>
      </c>
      <c r="J156" s="505">
        <v>8</v>
      </c>
      <c r="K156" s="505">
        <v>9</v>
      </c>
      <c r="L156" s="505">
        <v>10</v>
      </c>
      <c r="M156" s="505">
        <v>11</v>
      </c>
      <c r="N156" s="505">
        <v>12</v>
      </c>
      <c r="O156" s="505">
        <v>13</v>
      </c>
    </row>
    <row r="157" spans="1:15" ht="15" hidden="1">
      <c r="A157" s="506" t="s">
        <v>0</v>
      </c>
      <c r="B157" s="427" t="s">
        <v>130</v>
      </c>
      <c r="C157" s="791">
        <f aca="true" t="shared" si="49" ref="C157:C170">SUM(D157,E157,H157:O157)</f>
        <v>5286907</v>
      </c>
      <c r="D157" s="799">
        <f>SUM(D158:D159)</f>
        <v>3877091</v>
      </c>
      <c r="E157" s="799">
        <f aca="true" t="shared" si="50" ref="E157:J157">SUM(E158:E159)</f>
        <v>882930</v>
      </c>
      <c r="F157" s="799">
        <f t="shared" si="50"/>
        <v>0</v>
      </c>
      <c r="G157" s="799">
        <f t="shared" si="50"/>
        <v>882930</v>
      </c>
      <c r="H157" s="799">
        <f t="shared" si="50"/>
        <v>0</v>
      </c>
      <c r="I157" s="799">
        <f t="shared" si="50"/>
        <v>318999</v>
      </c>
      <c r="J157" s="799">
        <f t="shared" si="50"/>
        <v>207887</v>
      </c>
      <c r="K157" s="799">
        <f>SUM(K158:K159)</f>
        <v>0</v>
      </c>
      <c r="L157" s="799">
        <f>SUM(L158:L159)</f>
        <v>0</v>
      </c>
      <c r="M157" s="799">
        <f>SUM(M158:M159)</f>
        <v>0</v>
      </c>
      <c r="N157" s="799">
        <f>SUM(N158:N159)</f>
        <v>0</v>
      </c>
      <c r="O157" s="799">
        <f>SUM(O158:O159)</f>
        <v>0</v>
      </c>
    </row>
    <row r="158" spans="1:15" ht="15.75" hidden="1">
      <c r="A158" s="507">
        <v>1</v>
      </c>
      <c r="B158" s="429" t="s">
        <v>131</v>
      </c>
      <c r="C158" s="796">
        <f t="shared" si="49"/>
        <v>3739642</v>
      </c>
      <c r="D158" s="806">
        <f>34000+349539+1596823+699201</f>
        <v>2679563</v>
      </c>
      <c r="E158" s="801">
        <f aca="true" t="shared" si="51" ref="E158:E168">SUM(F158:G158)</f>
        <v>703905</v>
      </c>
      <c r="F158" s="806">
        <f>0+0+0</f>
        <v>0</v>
      </c>
      <c r="G158" s="806">
        <f>210664+178240+102502+212499</f>
        <v>703905</v>
      </c>
      <c r="H158" s="806"/>
      <c r="I158" s="806">
        <f>12965+51600+40302+43420</f>
        <v>148287</v>
      </c>
      <c r="J158" s="806">
        <v>207887</v>
      </c>
      <c r="K158" s="806"/>
      <c r="L158" s="806"/>
      <c r="M158" s="806"/>
      <c r="N158" s="806"/>
      <c r="O158" s="806"/>
    </row>
    <row r="159" spans="1:15" ht="15.75" hidden="1">
      <c r="A159" s="507">
        <v>2</v>
      </c>
      <c r="B159" s="429" t="s">
        <v>132</v>
      </c>
      <c r="C159" s="796">
        <f t="shared" si="49"/>
        <v>1547265</v>
      </c>
      <c r="D159" s="803">
        <f>5420+71750+548504+571854</f>
        <v>1197528</v>
      </c>
      <c r="E159" s="801">
        <f t="shared" si="51"/>
        <v>179025</v>
      </c>
      <c r="F159" s="803"/>
      <c r="G159" s="803">
        <f>0+51937+19000+108088</f>
        <v>179025</v>
      </c>
      <c r="H159" s="803"/>
      <c r="I159" s="803">
        <f>0+51000+89201+30511</f>
        <v>170712</v>
      </c>
      <c r="J159" s="803"/>
      <c r="K159" s="803"/>
      <c r="L159" s="803"/>
      <c r="M159" s="803"/>
      <c r="N159" s="803"/>
      <c r="O159" s="803"/>
    </row>
    <row r="160" spans="1:15" ht="15.75" hidden="1">
      <c r="A160" s="508" t="s">
        <v>1</v>
      </c>
      <c r="B160" s="394" t="s">
        <v>133</v>
      </c>
      <c r="C160" s="796">
        <f t="shared" si="49"/>
        <v>0</v>
      </c>
      <c r="D160" s="935">
        <v>0</v>
      </c>
      <c r="E160" s="801">
        <f t="shared" si="51"/>
        <v>0</v>
      </c>
      <c r="F160" s="935"/>
      <c r="G160" s="935"/>
      <c r="H160" s="935"/>
      <c r="I160" s="935"/>
      <c r="J160" s="935"/>
      <c r="K160" s="935"/>
      <c r="L160" s="935"/>
      <c r="M160" s="935"/>
      <c r="N160" s="935"/>
      <c r="O160" s="935"/>
    </row>
    <row r="161" spans="1:15" ht="15.75" hidden="1">
      <c r="A161" s="508" t="s">
        <v>9</v>
      </c>
      <c r="B161" s="394" t="s">
        <v>134</v>
      </c>
      <c r="C161" s="796">
        <f t="shared" si="49"/>
        <v>0</v>
      </c>
      <c r="D161" s="803"/>
      <c r="E161" s="801">
        <f t="shared" si="51"/>
        <v>0</v>
      </c>
      <c r="F161" s="803"/>
      <c r="G161" s="803"/>
      <c r="H161" s="803"/>
      <c r="I161" s="803"/>
      <c r="J161" s="803"/>
      <c r="K161" s="803"/>
      <c r="L161" s="803"/>
      <c r="M161" s="803"/>
      <c r="N161" s="803"/>
      <c r="O161" s="803"/>
    </row>
    <row r="162" spans="1:15" ht="15" hidden="1">
      <c r="A162" s="508" t="s">
        <v>135</v>
      </c>
      <c r="B162" s="394" t="s">
        <v>136</v>
      </c>
      <c r="C162" s="791">
        <f t="shared" si="49"/>
        <v>5286907</v>
      </c>
      <c r="D162" s="792">
        <f>D157-SUM(D160,D161)</f>
        <v>3877091</v>
      </c>
      <c r="E162" s="799">
        <f t="shared" si="51"/>
        <v>882930</v>
      </c>
      <c r="F162" s="792"/>
      <c r="G162" s="792">
        <f aca="true" t="shared" si="52" ref="G162:O162">G157-SUM(G160,G161)</f>
        <v>882930</v>
      </c>
      <c r="H162" s="792">
        <f t="shared" si="52"/>
        <v>0</v>
      </c>
      <c r="I162" s="792">
        <f t="shared" si="52"/>
        <v>318999</v>
      </c>
      <c r="J162" s="792">
        <f t="shared" si="52"/>
        <v>207887</v>
      </c>
      <c r="K162" s="792">
        <f t="shared" si="52"/>
        <v>0</v>
      </c>
      <c r="L162" s="792">
        <f t="shared" si="52"/>
        <v>0</v>
      </c>
      <c r="M162" s="792">
        <f t="shared" si="52"/>
        <v>0</v>
      </c>
      <c r="N162" s="792">
        <f t="shared" si="52"/>
        <v>0</v>
      </c>
      <c r="O162" s="792">
        <f t="shared" si="52"/>
        <v>0</v>
      </c>
    </row>
    <row r="163" spans="1:15" ht="15" hidden="1">
      <c r="A163" s="508" t="s">
        <v>51</v>
      </c>
      <c r="B163" s="430" t="s">
        <v>137</v>
      </c>
      <c r="C163" s="791">
        <f t="shared" si="49"/>
        <v>2911979</v>
      </c>
      <c r="D163" s="800">
        <f>SUM(D164:D170)</f>
        <v>2490591</v>
      </c>
      <c r="E163" s="799">
        <f t="shared" si="51"/>
        <v>246009</v>
      </c>
      <c r="F163" s="792"/>
      <c r="G163" s="800">
        <f aca="true" t="shared" si="53" ref="G163:O163">SUM(G164:G170)</f>
        <v>246009</v>
      </c>
      <c r="H163" s="800">
        <f t="shared" si="53"/>
        <v>0</v>
      </c>
      <c r="I163" s="800">
        <f t="shared" si="53"/>
        <v>175379</v>
      </c>
      <c r="J163" s="800">
        <f t="shared" si="53"/>
        <v>0</v>
      </c>
      <c r="K163" s="800">
        <f t="shared" si="53"/>
        <v>0</v>
      </c>
      <c r="L163" s="800">
        <f t="shared" si="53"/>
        <v>0</v>
      </c>
      <c r="M163" s="800">
        <f t="shared" si="53"/>
        <v>0</v>
      </c>
      <c r="N163" s="800">
        <f t="shared" si="53"/>
        <v>0</v>
      </c>
      <c r="O163" s="800">
        <f t="shared" si="53"/>
        <v>0</v>
      </c>
    </row>
    <row r="164" spans="1:15" ht="15.75" hidden="1">
      <c r="A164" s="507" t="s">
        <v>53</v>
      </c>
      <c r="B164" s="429" t="s">
        <v>138</v>
      </c>
      <c r="C164" s="796">
        <f t="shared" si="49"/>
        <v>771567</v>
      </c>
      <c r="D164" s="802">
        <f>5420+0+301392+276549</f>
        <v>583361</v>
      </c>
      <c r="E164" s="801">
        <f t="shared" si="51"/>
        <v>121730</v>
      </c>
      <c r="F164" s="802"/>
      <c r="G164" s="802">
        <f>13000+47665+12200+48865</f>
        <v>121730</v>
      </c>
      <c r="H164" s="802"/>
      <c r="I164" s="802">
        <f>8765+14300+35600+7811</f>
        <v>66476</v>
      </c>
      <c r="J164" s="802"/>
      <c r="K164" s="802"/>
      <c r="L164" s="802"/>
      <c r="M164" s="802"/>
      <c r="N164" s="802"/>
      <c r="O164" s="802"/>
    </row>
    <row r="165" spans="1:15" ht="20.25" customHeight="1" hidden="1">
      <c r="A165" s="507" t="s">
        <v>54</v>
      </c>
      <c r="B165" s="429" t="s">
        <v>139</v>
      </c>
      <c r="C165" s="796">
        <f t="shared" si="49"/>
        <v>130181</v>
      </c>
      <c r="D165" s="803">
        <f>84160+776</f>
        <v>84936</v>
      </c>
      <c r="E165" s="801">
        <f t="shared" si="51"/>
        <v>45245</v>
      </c>
      <c r="F165" s="803"/>
      <c r="G165" s="803">
        <f>0+41272+1026+2947</f>
        <v>45245</v>
      </c>
      <c r="H165" s="803"/>
      <c r="I165" s="803"/>
      <c r="J165" s="803"/>
      <c r="K165" s="803"/>
      <c r="L165" s="803"/>
      <c r="M165" s="803"/>
      <c r="N165" s="803"/>
      <c r="O165" s="803"/>
    </row>
    <row r="166" spans="1:15" ht="17.25" customHeight="1" hidden="1">
      <c r="A166" s="507" t="s">
        <v>140</v>
      </c>
      <c r="B166" s="429" t="s">
        <v>141</v>
      </c>
      <c r="C166" s="796">
        <f t="shared" si="49"/>
        <v>2010231</v>
      </c>
      <c r="D166" s="803">
        <f>0+374539+539025+908730</f>
        <v>1822294</v>
      </c>
      <c r="E166" s="801">
        <f t="shared" si="51"/>
        <v>79034</v>
      </c>
      <c r="F166" s="803"/>
      <c r="G166" s="803">
        <f>77750+0+919+365</f>
        <v>79034</v>
      </c>
      <c r="H166" s="803"/>
      <c r="I166" s="803">
        <f>0+25400+66803+16700</f>
        <v>108903</v>
      </c>
      <c r="J166" s="803"/>
      <c r="K166" s="803"/>
      <c r="L166" s="803"/>
      <c r="M166" s="803"/>
      <c r="N166" s="803"/>
      <c r="O166" s="803"/>
    </row>
    <row r="167" spans="1:15" ht="15.75" hidden="1">
      <c r="A167" s="507" t="s">
        <v>142</v>
      </c>
      <c r="B167" s="429" t="s">
        <v>143</v>
      </c>
      <c r="C167" s="796">
        <f t="shared" si="49"/>
        <v>0</v>
      </c>
      <c r="D167" s="803">
        <v>0</v>
      </c>
      <c r="E167" s="801">
        <f t="shared" si="51"/>
        <v>0</v>
      </c>
      <c r="F167" s="803"/>
      <c r="G167" s="803"/>
      <c r="H167" s="803"/>
      <c r="I167" s="803"/>
      <c r="J167" s="803"/>
      <c r="K167" s="803"/>
      <c r="L167" s="803"/>
      <c r="M167" s="803"/>
      <c r="N167" s="803"/>
      <c r="O167" s="803"/>
    </row>
    <row r="168" spans="1:15" ht="15.75" customHeight="1" hidden="1">
      <c r="A168" s="507" t="s">
        <v>144</v>
      </c>
      <c r="B168" s="429" t="s">
        <v>145</v>
      </c>
      <c r="C168" s="796">
        <f t="shared" si="49"/>
        <v>0</v>
      </c>
      <c r="D168" s="803"/>
      <c r="E168" s="801">
        <f t="shared" si="51"/>
        <v>0</v>
      </c>
      <c r="F168" s="803"/>
      <c r="G168" s="803"/>
      <c r="H168" s="803"/>
      <c r="I168" s="803"/>
      <c r="J168" s="803"/>
      <c r="K168" s="803"/>
      <c r="L168" s="803"/>
      <c r="M168" s="803"/>
      <c r="N168" s="803"/>
      <c r="O168" s="803"/>
    </row>
    <row r="169" spans="1:15" ht="25.5" hidden="1">
      <c r="A169" s="507" t="s">
        <v>146</v>
      </c>
      <c r="B169" s="431" t="s">
        <v>147</v>
      </c>
      <c r="C169" s="796">
        <f t="shared" si="49"/>
        <v>0</v>
      </c>
      <c r="D169" s="803"/>
      <c r="E169" s="801">
        <f>SUM(F169:G169)</f>
        <v>0</v>
      </c>
      <c r="F169" s="803"/>
      <c r="G169" s="803"/>
      <c r="H169" s="803"/>
      <c r="I169" s="803"/>
      <c r="J169" s="803"/>
      <c r="K169" s="803"/>
      <c r="L169" s="803"/>
      <c r="M169" s="803"/>
      <c r="N169" s="803"/>
      <c r="O169" s="803"/>
    </row>
    <row r="170" spans="1:15" ht="15.75" hidden="1">
      <c r="A170" s="507" t="s">
        <v>148</v>
      </c>
      <c r="B170" s="429" t="s">
        <v>149</v>
      </c>
      <c r="C170" s="796">
        <f t="shared" si="49"/>
        <v>0</v>
      </c>
      <c r="D170" s="803">
        <v>0</v>
      </c>
      <c r="E170" s="801">
        <f>SUM(F170:G170)</f>
        <v>0</v>
      </c>
      <c r="F170" s="803">
        <f aca="true" t="shared" si="54" ref="F170:O170">0+0</f>
        <v>0</v>
      </c>
      <c r="G170" s="803">
        <f t="shared" si="54"/>
        <v>0</v>
      </c>
      <c r="H170" s="803">
        <f t="shared" si="54"/>
        <v>0</v>
      </c>
      <c r="I170" s="803">
        <f t="shared" si="54"/>
        <v>0</v>
      </c>
      <c r="J170" s="803">
        <f t="shared" si="54"/>
        <v>0</v>
      </c>
      <c r="K170" s="803">
        <f t="shared" si="54"/>
        <v>0</v>
      </c>
      <c r="L170" s="803">
        <f t="shared" si="54"/>
        <v>0</v>
      </c>
      <c r="M170" s="803">
        <f t="shared" si="54"/>
        <v>0</v>
      </c>
      <c r="N170" s="803">
        <f t="shared" si="54"/>
        <v>0</v>
      </c>
      <c r="O170" s="803">
        <f t="shared" si="54"/>
        <v>0</v>
      </c>
    </row>
    <row r="171" spans="1:15" ht="15" hidden="1">
      <c r="A171" s="508" t="s">
        <v>52</v>
      </c>
      <c r="B171" s="394" t="s">
        <v>150</v>
      </c>
      <c r="C171" s="807">
        <f>C157-C160-C161-C163</f>
        <v>2374928</v>
      </c>
      <c r="D171" s="807">
        <f>D162-D163</f>
        <v>1386500</v>
      </c>
      <c r="E171" s="807">
        <f aca="true" t="shared" si="55" ref="E171:O171">E162-E163</f>
        <v>636921</v>
      </c>
      <c r="F171" s="807">
        <f t="shared" si="55"/>
        <v>0</v>
      </c>
      <c r="G171" s="807">
        <f t="shared" si="55"/>
        <v>636921</v>
      </c>
      <c r="H171" s="807">
        <f t="shared" si="55"/>
        <v>0</v>
      </c>
      <c r="I171" s="807">
        <f t="shared" si="55"/>
        <v>143620</v>
      </c>
      <c r="J171" s="807">
        <f t="shared" si="55"/>
        <v>207887</v>
      </c>
      <c r="K171" s="807">
        <f t="shared" si="55"/>
        <v>0</v>
      </c>
      <c r="L171" s="807">
        <f t="shared" si="55"/>
        <v>0</v>
      </c>
      <c r="M171" s="807">
        <f t="shared" si="55"/>
        <v>0</v>
      </c>
      <c r="N171" s="807">
        <f t="shared" si="55"/>
        <v>0</v>
      </c>
      <c r="O171" s="807">
        <f t="shared" si="55"/>
        <v>0</v>
      </c>
    </row>
    <row r="172" spans="1:15" ht="25.5" hidden="1">
      <c r="A172" s="534" t="s">
        <v>538</v>
      </c>
      <c r="B172" s="470" t="s">
        <v>151</v>
      </c>
      <c r="C172" s="532">
        <f>(C164+C165)/C163</f>
        <v>0.3096684419770884</v>
      </c>
      <c r="D172" s="533">
        <f aca="true" t="shared" si="56" ref="D172:O172">(D164+D165)/D163</f>
        <v>0.2683286818269238</v>
      </c>
      <c r="E172" s="532">
        <f t="shared" si="56"/>
        <v>0.6787353308212302</v>
      </c>
      <c r="F172" s="533" t="e">
        <f t="shared" si="56"/>
        <v>#DIV/0!</v>
      </c>
      <c r="G172" s="533">
        <f t="shared" si="56"/>
        <v>0.6787353308212302</v>
      </c>
      <c r="H172" s="533" t="e">
        <f t="shared" si="56"/>
        <v>#DIV/0!</v>
      </c>
      <c r="I172" s="533">
        <f t="shared" si="56"/>
        <v>0.3790419605540002</v>
      </c>
      <c r="J172" s="533" t="e">
        <f t="shared" si="56"/>
        <v>#DIV/0!</v>
      </c>
      <c r="K172" s="533" t="e">
        <f t="shared" si="56"/>
        <v>#DIV/0!</v>
      </c>
      <c r="L172" s="533" t="e">
        <f t="shared" si="56"/>
        <v>#DIV/0!</v>
      </c>
      <c r="M172" s="533" t="e">
        <f t="shared" si="56"/>
        <v>#DIV/0!</v>
      </c>
      <c r="N172" s="533" t="e">
        <f t="shared" si="56"/>
        <v>#DIV/0!</v>
      </c>
      <c r="O172" s="533" t="e">
        <f t="shared" si="56"/>
        <v>#DIV/0!</v>
      </c>
    </row>
    <row r="173" ht="15" hidden="1"/>
    <row r="174" ht="15" hidden="1">
      <c r="B174" s="861" t="s">
        <v>750</v>
      </c>
    </row>
    <row r="175" spans="1:15" ht="15" hidden="1">
      <c r="A175" s="1573" t="s">
        <v>68</v>
      </c>
      <c r="B175" s="1574"/>
      <c r="C175" s="1582" t="s">
        <v>37</v>
      </c>
      <c r="D175" s="1582" t="s">
        <v>335</v>
      </c>
      <c r="E175" s="1583"/>
      <c r="F175" s="1583"/>
      <c r="G175" s="1583"/>
      <c r="H175" s="1583"/>
      <c r="I175" s="1583"/>
      <c r="J175" s="1583"/>
      <c r="K175" s="1583"/>
      <c r="L175" s="1583"/>
      <c r="M175" s="1583"/>
      <c r="N175" s="1583"/>
      <c r="O175" s="1584"/>
    </row>
    <row r="176" spans="1:15" ht="15" hidden="1">
      <c r="A176" s="1575"/>
      <c r="B176" s="1576"/>
      <c r="C176" s="1596"/>
      <c r="D176" s="1586" t="s">
        <v>119</v>
      </c>
      <c r="E176" s="1593" t="s">
        <v>120</v>
      </c>
      <c r="F176" s="1594"/>
      <c r="G176" s="1595"/>
      <c r="H176" s="1569" t="s">
        <v>121</v>
      </c>
      <c r="I176" s="1569" t="s">
        <v>122</v>
      </c>
      <c r="J176" s="1569" t="s">
        <v>198</v>
      </c>
      <c r="K176" s="1569" t="s">
        <v>124</v>
      </c>
      <c r="L176" s="1569" t="s">
        <v>125</v>
      </c>
      <c r="M176" s="1569" t="s">
        <v>126</v>
      </c>
      <c r="N176" s="1569" t="s">
        <v>183</v>
      </c>
      <c r="O176" s="1569" t="s">
        <v>127</v>
      </c>
    </row>
    <row r="177" spans="1:15" ht="15" hidden="1">
      <c r="A177" s="1575"/>
      <c r="B177" s="1576"/>
      <c r="C177" s="1596"/>
      <c r="D177" s="1586"/>
      <c r="E177" s="1568" t="s">
        <v>36</v>
      </c>
      <c r="F177" s="1571" t="s">
        <v>7</v>
      </c>
      <c r="G177" s="1572"/>
      <c r="H177" s="1569"/>
      <c r="I177" s="1569"/>
      <c r="J177" s="1569"/>
      <c r="K177" s="1569"/>
      <c r="L177" s="1569"/>
      <c r="M177" s="1569"/>
      <c r="N177" s="1569"/>
      <c r="O177" s="1569"/>
    </row>
    <row r="178" spans="1:15" ht="15" hidden="1">
      <c r="A178" s="1577"/>
      <c r="B178" s="1578"/>
      <c r="C178" s="1596"/>
      <c r="D178" s="1587"/>
      <c r="E178" s="1570"/>
      <c r="F178" s="559" t="s">
        <v>199</v>
      </c>
      <c r="G178" s="560" t="s">
        <v>200</v>
      </c>
      <c r="H178" s="1570"/>
      <c r="I178" s="1570"/>
      <c r="J178" s="1570"/>
      <c r="K178" s="1570"/>
      <c r="L178" s="1570"/>
      <c r="M178" s="1570"/>
      <c r="N178" s="1570"/>
      <c r="O178" s="1570"/>
    </row>
    <row r="179" spans="1:15" ht="15" hidden="1">
      <c r="A179" s="1566" t="s">
        <v>39</v>
      </c>
      <c r="B179" s="1567"/>
      <c r="C179" s="505">
        <v>1</v>
      </c>
      <c r="D179" s="505">
        <v>2</v>
      </c>
      <c r="E179" s="505">
        <v>3</v>
      </c>
      <c r="F179" s="505">
        <v>4</v>
      </c>
      <c r="G179" s="505">
        <v>5</v>
      </c>
      <c r="H179" s="505">
        <v>6</v>
      </c>
      <c r="I179" s="505">
        <v>7</v>
      </c>
      <c r="J179" s="505">
        <v>8</v>
      </c>
      <c r="K179" s="505">
        <v>9</v>
      </c>
      <c r="L179" s="505">
        <v>10</v>
      </c>
      <c r="M179" s="505">
        <v>11</v>
      </c>
      <c r="N179" s="505">
        <v>12</v>
      </c>
      <c r="O179" s="505">
        <v>13</v>
      </c>
    </row>
    <row r="180" spans="1:15" ht="15" hidden="1">
      <c r="A180" s="506" t="s">
        <v>0</v>
      </c>
      <c r="B180" s="427" t="s">
        <v>130</v>
      </c>
      <c r="C180" s="791">
        <f aca="true" t="shared" si="57" ref="C180:C193">SUM(D180,E180,H180:O180)</f>
        <v>1576749</v>
      </c>
      <c r="D180" s="799">
        <f>SUM(D181:D182)</f>
        <v>909384</v>
      </c>
      <c r="E180" s="799">
        <f aca="true" t="shared" si="58" ref="E180:J180">SUM(E181:E182)</f>
        <v>569465</v>
      </c>
      <c r="F180" s="799">
        <f t="shared" si="58"/>
        <v>0</v>
      </c>
      <c r="G180" s="799">
        <f t="shared" si="58"/>
        <v>569465</v>
      </c>
      <c r="H180" s="799">
        <f t="shared" si="58"/>
        <v>0</v>
      </c>
      <c r="I180" s="799">
        <f t="shared" si="58"/>
        <v>97900</v>
      </c>
      <c r="J180" s="799">
        <f t="shared" si="58"/>
        <v>0</v>
      </c>
      <c r="K180" s="799">
        <f>SUM(K181:K182)</f>
        <v>0</v>
      </c>
      <c r="L180" s="799">
        <f>SUM(L181:L182)</f>
        <v>0</v>
      </c>
      <c r="M180" s="799">
        <f>SUM(M181:M182)</f>
        <v>0</v>
      </c>
      <c r="N180" s="799">
        <f>SUM(N181:N182)</f>
        <v>0</v>
      </c>
      <c r="O180" s="799">
        <f>SUM(O181:O182)</f>
        <v>0</v>
      </c>
    </row>
    <row r="181" spans="1:15" ht="15.75" hidden="1">
      <c r="A181" s="507">
        <v>1</v>
      </c>
      <c r="B181" s="429" t="s">
        <v>131</v>
      </c>
      <c r="C181" s="796">
        <f t="shared" si="57"/>
        <v>957920</v>
      </c>
      <c r="D181" s="868">
        <v>434455</v>
      </c>
      <c r="E181" s="801">
        <f aca="true" t="shared" si="59" ref="E181:E191">SUM(F181:G181)</f>
        <v>466465</v>
      </c>
      <c r="F181" s="869">
        <v>0</v>
      </c>
      <c r="G181" s="869">
        <v>466465</v>
      </c>
      <c r="H181" s="869"/>
      <c r="I181" s="869">
        <v>57000</v>
      </c>
      <c r="J181" s="869">
        <v>0</v>
      </c>
      <c r="K181" s="869"/>
      <c r="L181" s="869"/>
      <c r="M181" s="869"/>
      <c r="N181" s="869"/>
      <c r="O181" s="869">
        <v>0</v>
      </c>
    </row>
    <row r="182" spans="1:15" ht="15.75" hidden="1">
      <c r="A182" s="507">
        <v>2</v>
      </c>
      <c r="B182" s="429" t="s">
        <v>132</v>
      </c>
      <c r="C182" s="796">
        <f t="shared" si="57"/>
        <v>618829</v>
      </c>
      <c r="D182" s="803">
        <v>474929</v>
      </c>
      <c r="E182" s="801">
        <f t="shared" si="59"/>
        <v>103000</v>
      </c>
      <c r="F182" s="863"/>
      <c r="G182" s="863">
        <v>103000</v>
      </c>
      <c r="H182" s="863"/>
      <c r="I182" s="863">
        <v>40900</v>
      </c>
      <c r="J182" s="863"/>
      <c r="K182" s="863"/>
      <c r="L182" s="863"/>
      <c r="M182" s="863"/>
      <c r="N182" s="863"/>
      <c r="O182" s="863"/>
    </row>
    <row r="183" spans="1:15" ht="15.75" hidden="1">
      <c r="A183" s="508" t="s">
        <v>1</v>
      </c>
      <c r="B183" s="394" t="s">
        <v>133</v>
      </c>
      <c r="C183" s="796">
        <f t="shared" si="57"/>
        <v>0</v>
      </c>
      <c r="D183" s="803"/>
      <c r="E183" s="801">
        <f t="shared" si="59"/>
        <v>0</v>
      </c>
      <c r="F183" s="863"/>
      <c r="G183" s="863">
        <v>0</v>
      </c>
      <c r="H183" s="863"/>
      <c r="I183" s="863"/>
      <c r="J183" s="863"/>
      <c r="K183" s="863"/>
      <c r="L183" s="863"/>
      <c r="M183" s="863"/>
      <c r="N183" s="863"/>
      <c r="O183" s="863"/>
    </row>
    <row r="184" spans="1:15" ht="15.75" hidden="1">
      <c r="A184" s="508" t="s">
        <v>9</v>
      </c>
      <c r="B184" s="394" t="s">
        <v>134</v>
      </c>
      <c r="C184" s="796">
        <f t="shared" si="57"/>
        <v>0</v>
      </c>
      <c r="D184" s="803"/>
      <c r="E184" s="801">
        <f t="shared" si="59"/>
        <v>0</v>
      </c>
      <c r="F184" s="803"/>
      <c r="G184" s="803"/>
      <c r="H184" s="803"/>
      <c r="I184" s="803"/>
      <c r="J184" s="803"/>
      <c r="K184" s="803"/>
      <c r="L184" s="803"/>
      <c r="M184" s="803"/>
      <c r="N184" s="803"/>
      <c r="O184" s="803"/>
    </row>
    <row r="185" spans="1:15" ht="15" hidden="1">
      <c r="A185" s="508" t="s">
        <v>135</v>
      </c>
      <c r="B185" s="394" t="s">
        <v>136</v>
      </c>
      <c r="C185" s="791">
        <f t="shared" si="57"/>
        <v>1576749</v>
      </c>
      <c r="D185" s="792">
        <f>D180-SUM(D183,D184)</f>
        <v>909384</v>
      </c>
      <c r="E185" s="799">
        <f t="shared" si="59"/>
        <v>569465</v>
      </c>
      <c r="F185" s="792">
        <f aca="true" t="shared" si="60" ref="F185:O185">F180-SUM(F183,F184)</f>
        <v>0</v>
      </c>
      <c r="G185" s="792">
        <f t="shared" si="60"/>
        <v>569465</v>
      </c>
      <c r="H185" s="792">
        <f t="shared" si="60"/>
        <v>0</v>
      </c>
      <c r="I185" s="792">
        <f t="shared" si="60"/>
        <v>97900</v>
      </c>
      <c r="J185" s="792">
        <f t="shared" si="60"/>
        <v>0</v>
      </c>
      <c r="K185" s="792">
        <f t="shared" si="60"/>
        <v>0</v>
      </c>
      <c r="L185" s="792">
        <f t="shared" si="60"/>
        <v>0</v>
      </c>
      <c r="M185" s="792">
        <f t="shared" si="60"/>
        <v>0</v>
      </c>
      <c r="N185" s="792">
        <f t="shared" si="60"/>
        <v>0</v>
      </c>
      <c r="O185" s="792">
        <f t="shared" si="60"/>
        <v>0</v>
      </c>
    </row>
    <row r="186" spans="1:15" ht="14.25" customHeight="1" hidden="1">
      <c r="A186" s="508" t="s">
        <v>51</v>
      </c>
      <c r="B186" s="430" t="s">
        <v>137</v>
      </c>
      <c r="C186" s="791">
        <f t="shared" si="57"/>
        <v>692308</v>
      </c>
      <c r="D186" s="800">
        <f>SUM(D187:D193)</f>
        <v>617999</v>
      </c>
      <c r="E186" s="799">
        <f t="shared" si="59"/>
        <v>33409</v>
      </c>
      <c r="F186" s="800">
        <f aca="true" t="shared" si="61" ref="F186:O186">SUM(F187:F193)</f>
        <v>0</v>
      </c>
      <c r="G186" s="800">
        <f t="shared" si="61"/>
        <v>33409</v>
      </c>
      <c r="H186" s="800">
        <f t="shared" si="61"/>
        <v>0</v>
      </c>
      <c r="I186" s="800">
        <f t="shared" si="61"/>
        <v>40900</v>
      </c>
      <c r="J186" s="800">
        <f t="shared" si="61"/>
        <v>0</v>
      </c>
      <c r="K186" s="800">
        <f t="shared" si="61"/>
        <v>0</v>
      </c>
      <c r="L186" s="800">
        <f t="shared" si="61"/>
        <v>0</v>
      </c>
      <c r="M186" s="800">
        <f t="shared" si="61"/>
        <v>0</v>
      </c>
      <c r="N186" s="800">
        <f t="shared" si="61"/>
        <v>0</v>
      </c>
      <c r="O186" s="800">
        <f t="shared" si="61"/>
        <v>0</v>
      </c>
    </row>
    <row r="187" spans="1:15" ht="15.75" hidden="1">
      <c r="A187" s="507" t="s">
        <v>53</v>
      </c>
      <c r="B187" s="429" t="s">
        <v>138</v>
      </c>
      <c r="C187" s="796">
        <f t="shared" si="57"/>
        <v>100814</v>
      </c>
      <c r="D187" s="802">
        <v>50414</v>
      </c>
      <c r="E187" s="801">
        <f t="shared" si="59"/>
        <v>30000</v>
      </c>
      <c r="F187" s="865"/>
      <c r="G187" s="865">
        <v>30000</v>
      </c>
      <c r="H187" s="865"/>
      <c r="I187" s="865">
        <v>20400</v>
      </c>
      <c r="J187" s="865"/>
      <c r="K187" s="865"/>
      <c r="L187" s="865"/>
      <c r="M187" s="865"/>
      <c r="N187" s="865"/>
      <c r="O187" s="865"/>
    </row>
    <row r="188" spans="1:15" ht="15.75" hidden="1">
      <c r="A188" s="507" t="s">
        <v>54</v>
      </c>
      <c r="B188" s="429" t="s">
        <v>139</v>
      </c>
      <c r="C188" s="796">
        <f t="shared" si="57"/>
        <v>3409</v>
      </c>
      <c r="D188" s="803">
        <v>0</v>
      </c>
      <c r="E188" s="801">
        <f t="shared" si="59"/>
        <v>3409</v>
      </c>
      <c r="F188" s="863"/>
      <c r="G188" s="863">
        <v>3409</v>
      </c>
      <c r="H188" s="863"/>
      <c r="I188" s="863"/>
      <c r="J188" s="863"/>
      <c r="K188" s="863"/>
      <c r="L188" s="863"/>
      <c r="M188" s="863"/>
      <c r="N188" s="863"/>
      <c r="O188" s="863"/>
    </row>
    <row r="189" spans="1:15" ht="15.75" hidden="1">
      <c r="A189" s="507" t="s">
        <v>140</v>
      </c>
      <c r="B189" s="429" t="s">
        <v>141</v>
      </c>
      <c r="C189" s="796">
        <f t="shared" si="57"/>
        <v>588085</v>
      </c>
      <c r="D189" s="803">
        <v>567585</v>
      </c>
      <c r="E189" s="801">
        <f t="shared" si="59"/>
        <v>0</v>
      </c>
      <c r="F189" s="863"/>
      <c r="G189" s="863">
        <v>0</v>
      </c>
      <c r="H189" s="863"/>
      <c r="I189" s="863">
        <v>20500</v>
      </c>
      <c r="J189" s="863"/>
      <c r="K189" s="863"/>
      <c r="L189" s="863"/>
      <c r="M189" s="863"/>
      <c r="N189" s="863"/>
      <c r="O189" s="863"/>
    </row>
    <row r="190" spans="1:15" ht="1.5" customHeight="1" hidden="1">
      <c r="A190" s="507" t="s">
        <v>142</v>
      </c>
      <c r="B190" s="429" t="s">
        <v>143</v>
      </c>
      <c r="C190" s="796">
        <f t="shared" si="57"/>
        <v>0</v>
      </c>
      <c r="D190" s="803"/>
      <c r="E190" s="801">
        <f t="shared" si="59"/>
        <v>0</v>
      </c>
      <c r="F190" s="863"/>
      <c r="G190" s="863"/>
      <c r="H190" s="863"/>
      <c r="I190" s="863"/>
      <c r="J190" s="863"/>
      <c r="K190" s="863"/>
      <c r="L190" s="863"/>
      <c r="M190" s="863"/>
      <c r="N190" s="863"/>
      <c r="O190" s="863"/>
    </row>
    <row r="191" spans="1:15" ht="15.75" hidden="1">
      <c r="A191" s="507" t="s">
        <v>144</v>
      </c>
      <c r="B191" s="429" t="s">
        <v>145</v>
      </c>
      <c r="C191" s="796">
        <f t="shared" si="57"/>
        <v>0</v>
      </c>
      <c r="D191" s="803"/>
      <c r="E191" s="801">
        <f t="shared" si="59"/>
        <v>0</v>
      </c>
      <c r="F191" s="863"/>
      <c r="G191" s="863"/>
      <c r="H191" s="863"/>
      <c r="I191" s="863"/>
      <c r="J191" s="863"/>
      <c r="K191" s="863"/>
      <c r="L191" s="863"/>
      <c r="M191" s="863"/>
      <c r="N191" s="863"/>
      <c r="O191" s="863"/>
    </row>
    <row r="192" spans="1:15" ht="25.5" hidden="1">
      <c r="A192" s="507" t="s">
        <v>146</v>
      </c>
      <c r="B192" s="431" t="s">
        <v>147</v>
      </c>
      <c r="C192" s="796">
        <f t="shared" si="57"/>
        <v>0</v>
      </c>
      <c r="D192" s="803"/>
      <c r="E192" s="801">
        <f>SUM(F192:G192)</f>
        <v>0</v>
      </c>
      <c r="F192" s="863"/>
      <c r="G192" s="863"/>
      <c r="H192" s="863"/>
      <c r="I192" s="863"/>
      <c r="J192" s="863"/>
      <c r="K192" s="863"/>
      <c r="L192" s="863"/>
      <c r="M192" s="863"/>
      <c r="N192" s="863"/>
      <c r="O192" s="863"/>
    </row>
    <row r="193" spans="1:15" ht="15.75" hidden="1">
      <c r="A193" s="507" t="s">
        <v>148</v>
      </c>
      <c r="B193" s="429" t="s">
        <v>149</v>
      </c>
      <c r="C193" s="796">
        <f t="shared" si="57"/>
        <v>0</v>
      </c>
      <c r="D193" s="803"/>
      <c r="E193" s="801">
        <f>SUM(F193:G193)</f>
        <v>0</v>
      </c>
      <c r="F193" s="863"/>
      <c r="G193" s="863"/>
      <c r="H193" s="863"/>
      <c r="I193" s="863"/>
      <c r="J193" s="863"/>
      <c r="K193" s="863"/>
      <c r="L193" s="863"/>
      <c r="M193" s="863"/>
      <c r="N193" s="863"/>
      <c r="O193" s="863"/>
    </row>
    <row r="194" spans="1:15" ht="15" hidden="1">
      <c r="A194" s="508" t="s">
        <v>52</v>
      </c>
      <c r="B194" s="394" t="s">
        <v>150</v>
      </c>
      <c r="C194" s="807">
        <f>C180-C183-C184-C186</f>
        <v>884441</v>
      </c>
      <c r="D194" s="807">
        <f>D185-D186</f>
        <v>291385</v>
      </c>
      <c r="E194" s="807">
        <f aca="true" t="shared" si="62" ref="E194:O194">E185-E186</f>
        <v>536056</v>
      </c>
      <c r="F194" s="807">
        <f t="shared" si="62"/>
        <v>0</v>
      </c>
      <c r="G194" s="807">
        <f t="shared" si="62"/>
        <v>536056</v>
      </c>
      <c r="H194" s="807">
        <f t="shared" si="62"/>
        <v>0</v>
      </c>
      <c r="I194" s="807">
        <f t="shared" si="62"/>
        <v>57000</v>
      </c>
      <c r="J194" s="807">
        <f t="shared" si="62"/>
        <v>0</v>
      </c>
      <c r="K194" s="807">
        <f t="shared" si="62"/>
        <v>0</v>
      </c>
      <c r="L194" s="807">
        <f t="shared" si="62"/>
        <v>0</v>
      </c>
      <c r="M194" s="807">
        <f t="shared" si="62"/>
        <v>0</v>
      </c>
      <c r="N194" s="807">
        <f t="shared" si="62"/>
        <v>0</v>
      </c>
      <c r="O194" s="807">
        <f t="shared" si="62"/>
        <v>0</v>
      </c>
    </row>
    <row r="195" spans="1:15" ht="24" customHeight="1" hidden="1">
      <c r="A195" s="534" t="s">
        <v>538</v>
      </c>
      <c r="B195" s="470" t="s">
        <v>151</v>
      </c>
      <c r="C195" s="532">
        <f>(C187+C188)/C186</f>
        <v>0.15054426642477048</v>
      </c>
      <c r="D195" s="533">
        <f aca="true" t="shared" si="63" ref="D195:O195">(D187+D188)/D186</f>
        <v>0.08157618378023265</v>
      </c>
      <c r="E195" s="532">
        <f t="shared" si="63"/>
        <v>1</v>
      </c>
      <c r="F195" s="533" t="e">
        <f t="shared" si="63"/>
        <v>#DIV/0!</v>
      </c>
      <c r="G195" s="533">
        <f t="shared" si="63"/>
        <v>1</v>
      </c>
      <c r="H195" s="533" t="e">
        <f t="shared" si="63"/>
        <v>#DIV/0!</v>
      </c>
      <c r="I195" s="533">
        <f t="shared" si="63"/>
        <v>0.49877750611246946</v>
      </c>
      <c r="J195" s="533" t="e">
        <f t="shared" si="63"/>
        <v>#DIV/0!</v>
      </c>
      <c r="K195" s="533" t="e">
        <f t="shared" si="63"/>
        <v>#DIV/0!</v>
      </c>
      <c r="L195" s="533" t="e">
        <f t="shared" si="63"/>
        <v>#DIV/0!</v>
      </c>
      <c r="M195" s="533" t="e">
        <f t="shared" si="63"/>
        <v>#DIV/0!</v>
      </c>
      <c r="N195" s="533" t="e">
        <f t="shared" si="63"/>
        <v>#DIV/0!</v>
      </c>
      <c r="O195" s="533" t="e">
        <f t="shared" si="63"/>
        <v>#DIV/0!</v>
      </c>
    </row>
    <row r="196" ht="15" hidden="1"/>
    <row r="197" ht="15" hidden="1">
      <c r="B197" s="861" t="s">
        <v>736</v>
      </c>
    </row>
    <row r="198" spans="1:15" ht="0.75" customHeight="1" hidden="1">
      <c r="A198" s="1573" t="s">
        <v>68</v>
      </c>
      <c r="B198" s="1574"/>
      <c r="C198" s="1582" t="s">
        <v>37</v>
      </c>
      <c r="D198" s="1582" t="s">
        <v>335</v>
      </c>
      <c r="E198" s="1583"/>
      <c r="F198" s="1583"/>
      <c r="G198" s="1583"/>
      <c r="H198" s="1583"/>
      <c r="I198" s="1583"/>
      <c r="J198" s="1583"/>
      <c r="K198" s="1583"/>
      <c r="L198" s="1583"/>
      <c r="M198" s="1583"/>
      <c r="N198" s="1583"/>
      <c r="O198" s="1584"/>
    </row>
    <row r="199" spans="1:15" ht="15" hidden="1">
      <c r="A199" s="1575"/>
      <c r="B199" s="1576"/>
      <c r="C199" s="1596"/>
      <c r="D199" s="1586" t="s">
        <v>119</v>
      </c>
      <c r="E199" s="1593" t="s">
        <v>120</v>
      </c>
      <c r="F199" s="1594"/>
      <c r="G199" s="1595"/>
      <c r="H199" s="1569" t="s">
        <v>121</v>
      </c>
      <c r="I199" s="1569" t="s">
        <v>122</v>
      </c>
      <c r="J199" s="1569" t="s">
        <v>198</v>
      </c>
      <c r="K199" s="1569" t="s">
        <v>124</v>
      </c>
      <c r="L199" s="1569" t="s">
        <v>125</v>
      </c>
      <c r="M199" s="1569" t="s">
        <v>126</v>
      </c>
      <c r="N199" s="1569" t="s">
        <v>183</v>
      </c>
      <c r="O199" s="1569" t="s">
        <v>127</v>
      </c>
    </row>
    <row r="200" spans="1:15" ht="15" hidden="1">
      <c r="A200" s="1575"/>
      <c r="B200" s="1576"/>
      <c r="C200" s="1596"/>
      <c r="D200" s="1586"/>
      <c r="E200" s="1568" t="s">
        <v>36</v>
      </c>
      <c r="F200" s="1571" t="s">
        <v>7</v>
      </c>
      <c r="G200" s="1572"/>
      <c r="H200" s="1569"/>
      <c r="I200" s="1569"/>
      <c r="J200" s="1569"/>
      <c r="K200" s="1569"/>
      <c r="L200" s="1569"/>
      <c r="M200" s="1569"/>
      <c r="N200" s="1569"/>
      <c r="O200" s="1569"/>
    </row>
    <row r="201" spans="1:15" ht="15" hidden="1">
      <c r="A201" s="1577"/>
      <c r="B201" s="1578"/>
      <c r="C201" s="1596"/>
      <c r="D201" s="1587"/>
      <c r="E201" s="1570"/>
      <c r="F201" s="559" t="s">
        <v>199</v>
      </c>
      <c r="G201" s="560" t="s">
        <v>200</v>
      </c>
      <c r="H201" s="1570"/>
      <c r="I201" s="1570"/>
      <c r="J201" s="1570"/>
      <c r="K201" s="1570"/>
      <c r="L201" s="1570"/>
      <c r="M201" s="1570"/>
      <c r="N201" s="1570"/>
      <c r="O201" s="1570"/>
    </row>
    <row r="202" spans="1:15" ht="15" hidden="1">
      <c r="A202" s="1566" t="s">
        <v>39</v>
      </c>
      <c r="B202" s="1567"/>
      <c r="C202" s="505">
        <v>1</v>
      </c>
      <c r="D202" s="505">
        <v>2</v>
      </c>
      <c r="E202" s="505">
        <v>3</v>
      </c>
      <c r="F202" s="505">
        <v>4</v>
      </c>
      <c r="G202" s="505">
        <v>5</v>
      </c>
      <c r="H202" s="505">
        <v>6</v>
      </c>
      <c r="I202" s="505">
        <v>7</v>
      </c>
      <c r="J202" s="505">
        <v>8</v>
      </c>
      <c r="K202" s="505">
        <v>9</v>
      </c>
      <c r="L202" s="505">
        <v>10</v>
      </c>
      <c r="M202" s="505">
        <v>11</v>
      </c>
      <c r="N202" s="505">
        <v>12</v>
      </c>
      <c r="O202" s="505">
        <v>13</v>
      </c>
    </row>
    <row r="203" spans="1:15" ht="15" hidden="1">
      <c r="A203" s="506" t="s">
        <v>0</v>
      </c>
      <c r="B203" s="427" t="s">
        <v>130</v>
      </c>
      <c r="C203" s="791">
        <f aca="true" t="shared" si="64" ref="C203:C216">SUM(D203,E203,H203:O203)</f>
        <v>2144416</v>
      </c>
      <c r="D203" s="799">
        <f>SUM(D204:D205)</f>
        <v>1915523</v>
      </c>
      <c r="E203" s="799">
        <f aca="true" t="shared" si="65" ref="E203:J203">SUM(E204:E205)</f>
        <v>70563</v>
      </c>
      <c r="F203" s="799">
        <f t="shared" si="65"/>
        <v>0</v>
      </c>
      <c r="G203" s="799">
        <f t="shared" si="65"/>
        <v>70563</v>
      </c>
      <c r="H203" s="799">
        <f t="shared" si="65"/>
        <v>0</v>
      </c>
      <c r="I203" s="799">
        <f t="shared" si="65"/>
        <v>158330</v>
      </c>
      <c r="J203" s="799">
        <f t="shared" si="65"/>
        <v>0</v>
      </c>
      <c r="K203" s="799">
        <f>SUM(K204:K205)</f>
        <v>0</v>
      </c>
      <c r="L203" s="799">
        <f>SUM(L204:L205)</f>
        <v>0</v>
      </c>
      <c r="M203" s="799">
        <f>SUM(M204:M205)</f>
        <v>0</v>
      </c>
      <c r="N203" s="799">
        <f>SUM(N204:N205)</f>
        <v>0</v>
      </c>
      <c r="O203" s="799">
        <f>SUM(O204:O205)</f>
        <v>0</v>
      </c>
    </row>
    <row r="204" spans="1:15" ht="15.75" hidden="1">
      <c r="A204" s="507">
        <v>1</v>
      </c>
      <c r="B204" s="429" t="s">
        <v>131</v>
      </c>
      <c r="C204" s="796">
        <f t="shared" si="64"/>
        <v>1774933</v>
      </c>
      <c r="D204" s="965">
        <v>1648950</v>
      </c>
      <c r="E204" s="801">
        <f aca="true" t="shared" si="66" ref="E204:E214">SUM(F204:G204)</f>
        <v>65583</v>
      </c>
      <c r="F204" s="966">
        <v>0</v>
      </c>
      <c r="G204" s="965">
        <v>65583</v>
      </c>
      <c r="H204" s="965">
        <v>0</v>
      </c>
      <c r="I204" s="965">
        <v>60400</v>
      </c>
      <c r="J204" s="965"/>
      <c r="K204" s="965"/>
      <c r="L204" s="965"/>
      <c r="M204" s="958"/>
      <c r="N204" s="884"/>
      <c r="O204" s="884"/>
    </row>
    <row r="205" spans="1:15" ht="15.75" hidden="1">
      <c r="A205" s="507">
        <v>2</v>
      </c>
      <c r="B205" s="429" t="s">
        <v>132</v>
      </c>
      <c r="C205" s="796">
        <f t="shared" si="64"/>
        <v>369483</v>
      </c>
      <c r="D205" s="874">
        <f>139941+81500+45132</f>
        <v>266573</v>
      </c>
      <c r="E205" s="801">
        <f t="shared" si="66"/>
        <v>4980</v>
      </c>
      <c r="F205" s="874"/>
      <c r="G205" s="874">
        <f>4980</f>
        <v>4980</v>
      </c>
      <c r="H205" s="874"/>
      <c r="I205" s="874">
        <f>76130+21800</f>
        <v>97930</v>
      </c>
      <c r="J205" s="964"/>
      <c r="K205" s="964"/>
      <c r="L205" s="964"/>
      <c r="M205" s="959"/>
      <c r="N205" s="874"/>
      <c r="O205" s="874"/>
    </row>
    <row r="206" spans="1:15" ht="15.75" hidden="1">
      <c r="A206" s="508" t="s">
        <v>1</v>
      </c>
      <c r="B206" s="394" t="s">
        <v>133</v>
      </c>
      <c r="C206" s="796">
        <f t="shared" si="64"/>
        <v>0</v>
      </c>
      <c r="D206" s="803"/>
      <c r="E206" s="801">
        <f t="shared" si="66"/>
        <v>0</v>
      </c>
      <c r="F206" s="874"/>
      <c r="G206" s="874"/>
      <c r="H206" s="874"/>
      <c r="I206" s="874"/>
      <c r="J206" s="964"/>
      <c r="K206" s="964"/>
      <c r="L206" s="959"/>
      <c r="M206" s="959"/>
      <c r="N206" s="874"/>
      <c r="O206" s="874"/>
    </row>
    <row r="207" spans="1:15" ht="15.75" hidden="1">
      <c r="A207" s="508" t="s">
        <v>9</v>
      </c>
      <c r="B207" s="394" t="s">
        <v>134</v>
      </c>
      <c r="C207" s="796">
        <f t="shared" si="64"/>
        <v>0</v>
      </c>
      <c r="D207" s="803"/>
      <c r="E207" s="801">
        <f t="shared" si="66"/>
        <v>0</v>
      </c>
      <c r="F207" s="803"/>
      <c r="G207" s="803"/>
      <c r="H207" s="803"/>
      <c r="I207" s="803"/>
      <c r="J207" s="803"/>
      <c r="K207" s="803"/>
      <c r="L207" s="803"/>
      <c r="M207" s="803"/>
      <c r="N207" s="803"/>
      <c r="O207" s="803"/>
    </row>
    <row r="208" spans="1:15" ht="15" hidden="1">
      <c r="A208" s="508" t="s">
        <v>135</v>
      </c>
      <c r="B208" s="394" t="s">
        <v>136</v>
      </c>
      <c r="C208" s="791">
        <f t="shared" si="64"/>
        <v>2144416</v>
      </c>
      <c r="D208" s="792">
        <f>D203-SUM(D206,D207)</f>
        <v>1915523</v>
      </c>
      <c r="E208" s="799">
        <f t="shared" si="66"/>
        <v>70563</v>
      </c>
      <c r="F208" s="792">
        <f aca="true" t="shared" si="67" ref="F208:O208">F203-SUM(F206,F207)</f>
        <v>0</v>
      </c>
      <c r="G208" s="792">
        <f t="shared" si="67"/>
        <v>70563</v>
      </c>
      <c r="H208" s="792">
        <f t="shared" si="67"/>
        <v>0</v>
      </c>
      <c r="I208" s="792">
        <f t="shared" si="67"/>
        <v>158330</v>
      </c>
      <c r="J208" s="792">
        <f t="shared" si="67"/>
        <v>0</v>
      </c>
      <c r="K208" s="792">
        <f t="shared" si="67"/>
        <v>0</v>
      </c>
      <c r="L208" s="792">
        <f t="shared" si="67"/>
        <v>0</v>
      </c>
      <c r="M208" s="792">
        <f t="shared" si="67"/>
        <v>0</v>
      </c>
      <c r="N208" s="792">
        <f t="shared" si="67"/>
        <v>0</v>
      </c>
      <c r="O208" s="792">
        <f t="shared" si="67"/>
        <v>0</v>
      </c>
    </row>
    <row r="209" spans="1:15" ht="15" hidden="1">
      <c r="A209" s="508" t="s">
        <v>51</v>
      </c>
      <c r="B209" s="430" t="s">
        <v>137</v>
      </c>
      <c r="C209" s="791">
        <f t="shared" si="64"/>
        <v>490035</v>
      </c>
      <c r="D209" s="800">
        <f>SUM(D210:D216)</f>
        <v>385925</v>
      </c>
      <c r="E209" s="799">
        <f t="shared" si="66"/>
        <v>4980</v>
      </c>
      <c r="F209" s="800">
        <f aca="true" t="shared" si="68" ref="F209:O209">SUM(F210:F216)</f>
        <v>0</v>
      </c>
      <c r="G209" s="800">
        <f t="shared" si="68"/>
        <v>4980</v>
      </c>
      <c r="H209" s="800">
        <f t="shared" si="68"/>
        <v>0</v>
      </c>
      <c r="I209" s="800">
        <f t="shared" si="68"/>
        <v>99130</v>
      </c>
      <c r="J209" s="800">
        <f t="shared" si="68"/>
        <v>0</v>
      </c>
      <c r="K209" s="800">
        <f t="shared" si="68"/>
        <v>0</v>
      </c>
      <c r="L209" s="800">
        <f t="shared" si="68"/>
        <v>0</v>
      </c>
      <c r="M209" s="800">
        <f t="shared" si="68"/>
        <v>0</v>
      </c>
      <c r="N209" s="800">
        <f t="shared" si="68"/>
        <v>0</v>
      </c>
      <c r="O209" s="800">
        <f t="shared" si="68"/>
        <v>0</v>
      </c>
    </row>
    <row r="210" spans="1:15" ht="15.75" hidden="1">
      <c r="A210" s="507" t="s">
        <v>53</v>
      </c>
      <c r="B210" s="429" t="s">
        <v>138</v>
      </c>
      <c r="C210" s="796">
        <f t="shared" si="64"/>
        <v>141625</v>
      </c>
      <c r="D210" s="887">
        <f>51155+7000</f>
        <v>58155</v>
      </c>
      <c r="E210" s="801">
        <f t="shared" si="66"/>
        <v>2040</v>
      </c>
      <c r="F210" s="887"/>
      <c r="G210" s="887">
        <v>2040</v>
      </c>
      <c r="H210" s="887"/>
      <c r="I210" s="887">
        <f>79330+2100</f>
        <v>81430</v>
      </c>
      <c r="J210" s="960"/>
      <c r="K210" s="960"/>
      <c r="L210" s="960"/>
      <c r="M210" s="960"/>
      <c r="N210" s="964"/>
      <c r="O210" s="874"/>
    </row>
    <row r="211" spans="1:15" ht="15.75" hidden="1">
      <c r="A211" s="507" t="s">
        <v>54</v>
      </c>
      <c r="B211" s="429" t="s">
        <v>139</v>
      </c>
      <c r="C211" s="796">
        <f t="shared" si="64"/>
        <v>0</v>
      </c>
      <c r="D211" s="887"/>
      <c r="E211" s="801">
        <f t="shared" si="66"/>
        <v>0</v>
      </c>
      <c r="F211" s="887"/>
      <c r="G211" s="887"/>
      <c r="H211" s="887"/>
      <c r="I211" s="887"/>
      <c r="J211" s="960"/>
      <c r="K211" s="960"/>
      <c r="L211" s="960"/>
      <c r="M211" s="960"/>
      <c r="N211" s="964"/>
      <c r="O211" s="874"/>
    </row>
    <row r="212" spans="1:15" ht="15.75" hidden="1">
      <c r="A212" s="507" t="s">
        <v>140</v>
      </c>
      <c r="B212" s="429" t="s">
        <v>141</v>
      </c>
      <c r="C212" s="796">
        <f t="shared" si="64"/>
        <v>348410</v>
      </c>
      <c r="D212" s="887">
        <f>379902-7000-45132</f>
        <v>327770</v>
      </c>
      <c r="E212" s="801">
        <f t="shared" si="66"/>
        <v>2940</v>
      </c>
      <c r="F212" s="887"/>
      <c r="G212" s="887">
        <v>2940</v>
      </c>
      <c r="H212" s="887"/>
      <c r="I212" s="887">
        <f>19800-2100</f>
        <v>17700</v>
      </c>
      <c r="J212" s="960"/>
      <c r="K212" s="960"/>
      <c r="L212" s="960"/>
      <c r="M212" s="960"/>
      <c r="N212" s="964"/>
      <c r="O212" s="874"/>
    </row>
    <row r="213" spans="1:15" ht="15.75" hidden="1">
      <c r="A213" s="507" t="s">
        <v>142</v>
      </c>
      <c r="B213" s="429" t="s">
        <v>143</v>
      </c>
      <c r="C213" s="796">
        <f t="shared" si="64"/>
        <v>0</v>
      </c>
      <c r="D213" s="964"/>
      <c r="E213" s="801">
        <f t="shared" si="66"/>
        <v>0</v>
      </c>
      <c r="F213" s="964"/>
      <c r="G213" s="964"/>
      <c r="H213" s="964"/>
      <c r="I213" s="964"/>
      <c r="J213" s="964"/>
      <c r="K213" s="964"/>
      <c r="L213" s="964"/>
      <c r="M213" s="964"/>
      <c r="N213" s="964"/>
      <c r="O213" s="874"/>
    </row>
    <row r="214" spans="1:15" ht="15.75" hidden="1">
      <c r="A214" s="507" t="s">
        <v>144</v>
      </c>
      <c r="B214" s="429" t="s">
        <v>145</v>
      </c>
      <c r="C214" s="796">
        <f t="shared" si="64"/>
        <v>0</v>
      </c>
      <c r="D214" s="926"/>
      <c r="E214" s="801">
        <f t="shared" si="66"/>
        <v>0</v>
      </c>
      <c r="F214" s="887"/>
      <c r="G214" s="887"/>
      <c r="H214" s="887"/>
      <c r="I214" s="887"/>
      <c r="J214" s="887"/>
      <c r="K214" s="887"/>
      <c r="L214" s="887"/>
      <c r="M214" s="887"/>
      <c r="N214" s="874"/>
      <c r="O214" s="874"/>
    </row>
    <row r="215" spans="1:15" ht="25.5" hidden="1">
      <c r="A215" s="507" t="s">
        <v>146</v>
      </c>
      <c r="B215" s="431" t="s">
        <v>147</v>
      </c>
      <c r="C215" s="796">
        <f t="shared" si="64"/>
        <v>0</v>
      </c>
      <c r="D215" s="926"/>
      <c r="E215" s="801">
        <f>SUM(F215:G215)</f>
        <v>0</v>
      </c>
      <c r="F215" s="887"/>
      <c r="G215" s="887"/>
      <c r="H215" s="887"/>
      <c r="I215" s="887"/>
      <c r="J215" s="887"/>
      <c r="K215" s="887"/>
      <c r="L215" s="887"/>
      <c r="M215" s="887"/>
      <c r="N215" s="874"/>
      <c r="O215" s="874"/>
    </row>
    <row r="216" spans="1:15" ht="15.75" hidden="1">
      <c r="A216" s="507" t="s">
        <v>148</v>
      </c>
      <c r="B216" s="429" t="s">
        <v>149</v>
      </c>
      <c r="C216" s="796">
        <f t="shared" si="64"/>
        <v>0</v>
      </c>
      <c r="D216" s="874"/>
      <c r="E216" s="801">
        <f>SUM(F216:G216)</f>
        <v>0</v>
      </c>
      <c r="F216" s="874"/>
      <c r="G216" s="874"/>
      <c r="H216" s="874"/>
      <c r="I216" s="874"/>
      <c r="J216" s="874"/>
      <c r="K216" s="874"/>
      <c r="L216" s="874"/>
      <c r="M216" s="874"/>
      <c r="N216" s="874"/>
      <c r="O216" s="874"/>
    </row>
    <row r="217" spans="1:15" ht="26.25" customHeight="1" hidden="1">
      <c r="A217" s="508" t="s">
        <v>52</v>
      </c>
      <c r="B217" s="394" t="s">
        <v>150</v>
      </c>
      <c r="C217" s="807">
        <f>C203-C206-C207-C209</f>
        <v>1654381</v>
      </c>
      <c r="D217" s="807">
        <f>D208-D209</f>
        <v>1529598</v>
      </c>
      <c r="E217" s="807">
        <f aca="true" t="shared" si="69" ref="E217:O217">E208-E209</f>
        <v>65583</v>
      </c>
      <c r="F217" s="807">
        <f t="shared" si="69"/>
        <v>0</v>
      </c>
      <c r="G217" s="807">
        <f t="shared" si="69"/>
        <v>65583</v>
      </c>
      <c r="H217" s="807">
        <f t="shared" si="69"/>
        <v>0</v>
      </c>
      <c r="I217" s="807">
        <f t="shared" si="69"/>
        <v>59200</v>
      </c>
      <c r="J217" s="807">
        <f t="shared" si="69"/>
        <v>0</v>
      </c>
      <c r="K217" s="807">
        <f t="shared" si="69"/>
        <v>0</v>
      </c>
      <c r="L217" s="807">
        <f t="shared" si="69"/>
        <v>0</v>
      </c>
      <c r="M217" s="807">
        <f t="shared" si="69"/>
        <v>0</v>
      </c>
      <c r="N217" s="807">
        <f t="shared" si="69"/>
        <v>0</v>
      </c>
      <c r="O217" s="807">
        <f t="shared" si="69"/>
        <v>0</v>
      </c>
    </row>
    <row r="218" spans="1:15" ht="32.25" customHeight="1" hidden="1">
      <c r="A218" s="534" t="s">
        <v>538</v>
      </c>
      <c r="B218" s="470" t="s">
        <v>151</v>
      </c>
      <c r="C218" s="532">
        <f>(C210+C211)/C209</f>
        <v>0.28900996867570683</v>
      </c>
      <c r="D218" s="533">
        <f aca="true" t="shared" si="70" ref="D218:O218">(D210+D211)/D209</f>
        <v>0.15068990088747813</v>
      </c>
      <c r="E218" s="532">
        <f t="shared" si="70"/>
        <v>0.40963855421686746</v>
      </c>
      <c r="F218" s="533" t="e">
        <f t="shared" si="70"/>
        <v>#DIV/0!</v>
      </c>
      <c r="G218" s="533">
        <f t="shared" si="70"/>
        <v>0.40963855421686746</v>
      </c>
      <c r="H218" s="533" t="e">
        <f t="shared" si="70"/>
        <v>#DIV/0!</v>
      </c>
      <c r="I218" s="533">
        <f t="shared" si="70"/>
        <v>0.8214465852920407</v>
      </c>
      <c r="J218" s="533" t="e">
        <f t="shared" si="70"/>
        <v>#DIV/0!</v>
      </c>
      <c r="K218" s="533" t="e">
        <f t="shared" si="70"/>
        <v>#DIV/0!</v>
      </c>
      <c r="L218" s="533" t="e">
        <f t="shared" si="70"/>
        <v>#DIV/0!</v>
      </c>
      <c r="M218" s="533" t="e">
        <f t="shared" si="70"/>
        <v>#DIV/0!</v>
      </c>
      <c r="N218" s="533" t="e">
        <f t="shared" si="70"/>
        <v>#DIV/0!</v>
      </c>
      <c r="O218" s="533" t="e">
        <f t="shared" si="70"/>
        <v>#DIV/0!</v>
      </c>
    </row>
    <row r="219" ht="15"/>
  </sheetData>
  <sheetProtection/>
  <mergeCells count="155">
    <mergeCell ref="O199:O201"/>
    <mergeCell ref="E200:E201"/>
    <mergeCell ref="F200:G200"/>
    <mergeCell ref="A202:B202"/>
    <mergeCell ref="A198:B201"/>
    <mergeCell ref="C198:C201"/>
    <mergeCell ref="D198:O198"/>
    <mergeCell ref="D199:D201"/>
    <mergeCell ref="K199:K201"/>
    <mergeCell ref="L199:L201"/>
    <mergeCell ref="M199:M201"/>
    <mergeCell ref="N199:N201"/>
    <mergeCell ref="E199:G199"/>
    <mergeCell ref="H199:H201"/>
    <mergeCell ref="I199:I201"/>
    <mergeCell ref="J199:J201"/>
    <mergeCell ref="O176:O178"/>
    <mergeCell ref="E177:E178"/>
    <mergeCell ref="F177:G177"/>
    <mergeCell ref="A179:B179"/>
    <mergeCell ref="A175:B178"/>
    <mergeCell ref="C175:C178"/>
    <mergeCell ref="D175:O175"/>
    <mergeCell ref="D176:D178"/>
    <mergeCell ref="K176:K178"/>
    <mergeCell ref="L176:L178"/>
    <mergeCell ref="M176:M178"/>
    <mergeCell ref="N176:N178"/>
    <mergeCell ref="E176:G176"/>
    <mergeCell ref="H176:H178"/>
    <mergeCell ref="I176:I178"/>
    <mergeCell ref="J176:J178"/>
    <mergeCell ref="O153:O155"/>
    <mergeCell ref="E154:E155"/>
    <mergeCell ref="F154:G154"/>
    <mergeCell ref="A156:B156"/>
    <mergeCell ref="A152:B155"/>
    <mergeCell ref="C152:C155"/>
    <mergeCell ref="D152:O152"/>
    <mergeCell ref="D153:D155"/>
    <mergeCell ref="K153:K155"/>
    <mergeCell ref="L153:L155"/>
    <mergeCell ref="M153:M155"/>
    <mergeCell ref="N153:N155"/>
    <mergeCell ref="E153:G153"/>
    <mergeCell ref="H153:H155"/>
    <mergeCell ref="I153:I155"/>
    <mergeCell ref="J153:J155"/>
    <mergeCell ref="O130:O132"/>
    <mergeCell ref="E131:E132"/>
    <mergeCell ref="F131:G131"/>
    <mergeCell ref="A133:B133"/>
    <mergeCell ref="A129:B132"/>
    <mergeCell ref="C129:C132"/>
    <mergeCell ref="D129:O129"/>
    <mergeCell ref="D130:D132"/>
    <mergeCell ref="K130:K132"/>
    <mergeCell ref="L130:L132"/>
    <mergeCell ref="M130:M132"/>
    <mergeCell ref="N130:N132"/>
    <mergeCell ref="E130:G130"/>
    <mergeCell ref="H130:H132"/>
    <mergeCell ref="I130:I132"/>
    <mergeCell ref="J130:J132"/>
    <mergeCell ref="O106:O108"/>
    <mergeCell ref="E107:E108"/>
    <mergeCell ref="F107:G107"/>
    <mergeCell ref="A109:B109"/>
    <mergeCell ref="A105:B108"/>
    <mergeCell ref="C105:C108"/>
    <mergeCell ref="D105:O105"/>
    <mergeCell ref="D106:D108"/>
    <mergeCell ref="K106:K108"/>
    <mergeCell ref="L106:L108"/>
    <mergeCell ref="M106:M108"/>
    <mergeCell ref="N106:N108"/>
    <mergeCell ref="E106:G106"/>
    <mergeCell ref="H106:H108"/>
    <mergeCell ref="I106:I108"/>
    <mergeCell ref="J106:J108"/>
    <mergeCell ref="O82:O84"/>
    <mergeCell ref="E83:E84"/>
    <mergeCell ref="F83:G83"/>
    <mergeCell ref="A85:B85"/>
    <mergeCell ref="A81:B84"/>
    <mergeCell ref="C81:C84"/>
    <mergeCell ref="D81:O81"/>
    <mergeCell ref="D82:D84"/>
    <mergeCell ref="K82:K84"/>
    <mergeCell ref="L82:L84"/>
    <mergeCell ref="M82:M84"/>
    <mergeCell ref="N82:N84"/>
    <mergeCell ref="E82:G82"/>
    <mergeCell ref="H82:H84"/>
    <mergeCell ref="I82:I84"/>
    <mergeCell ref="J82:J84"/>
    <mergeCell ref="O59:O61"/>
    <mergeCell ref="E60:E61"/>
    <mergeCell ref="F60:G60"/>
    <mergeCell ref="A62:B62"/>
    <mergeCell ref="A58:B61"/>
    <mergeCell ref="C58:C61"/>
    <mergeCell ref="D58:O58"/>
    <mergeCell ref="D59:D61"/>
    <mergeCell ref="K59:K61"/>
    <mergeCell ref="L59:L61"/>
    <mergeCell ref="M59:M61"/>
    <mergeCell ref="N59:N61"/>
    <mergeCell ref="E59:G59"/>
    <mergeCell ref="H59:H61"/>
    <mergeCell ref="I59:I61"/>
    <mergeCell ref="J59:J61"/>
    <mergeCell ref="O35:O37"/>
    <mergeCell ref="E36:E37"/>
    <mergeCell ref="F36:G36"/>
    <mergeCell ref="A38:B38"/>
    <mergeCell ref="A34:B37"/>
    <mergeCell ref="C34:C37"/>
    <mergeCell ref="D34:O34"/>
    <mergeCell ref="D35:D37"/>
    <mergeCell ref="K35:K37"/>
    <mergeCell ref="L35:L37"/>
    <mergeCell ref="M35:M37"/>
    <mergeCell ref="N35:N37"/>
    <mergeCell ref="E35:G35"/>
    <mergeCell ref="H35:H37"/>
    <mergeCell ref="I35:I37"/>
    <mergeCell ref="J35:J37"/>
    <mergeCell ref="O7:O9"/>
    <mergeCell ref="D1:K1"/>
    <mergeCell ref="A6:B9"/>
    <mergeCell ref="N7:N9"/>
    <mergeCell ref="H7:H9"/>
    <mergeCell ref="A1:B1"/>
    <mergeCell ref="L1:O1"/>
    <mergeCell ref="L2:O2"/>
    <mergeCell ref="L3:O3"/>
    <mergeCell ref="L4:O4"/>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316" t="s">
        <v>35</v>
      </c>
      <c r="B1" s="1316"/>
      <c r="C1" s="1316"/>
      <c r="D1" s="1316"/>
      <c r="E1" s="1315" t="s">
        <v>480</v>
      </c>
      <c r="F1" s="1315"/>
      <c r="G1" s="1315"/>
      <c r="H1" s="1315"/>
      <c r="I1" s="1315"/>
      <c r="J1" s="1315"/>
      <c r="K1" s="1315"/>
      <c r="L1" s="40" t="s">
        <v>456</v>
      </c>
      <c r="M1" s="40"/>
      <c r="N1" s="40"/>
      <c r="O1" s="41"/>
      <c r="P1" s="41"/>
    </row>
    <row r="2" spans="1:16" ht="15.75" customHeight="1">
      <c r="A2" s="1318" t="s">
        <v>342</v>
      </c>
      <c r="B2" s="1318"/>
      <c r="C2" s="1318"/>
      <c r="D2" s="1318"/>
      <c r="E2" s="1315"/>
      <c r="F2" s="1315"/>
      <c r="G2" s="1315"/>
      <c r="H2" s="1315"/>
      <c r="I2" s="1315"/>
      <c r="J2" s="1315"/>
      <c r="K2" s="1315"/>
      <c r="L2" s="1319" t="s">
        <v>359</v>
      </c>
      <c r="M2" s="1319"/>
      <c r="N2" s="1319"/>
      <c r="O2" s="44"/>
      <c r="P2" s="41"/>
    </row>
    <row r="3" spans="1:16" ht="18" customHeight="1">
      <c r="A3" s="1318" t="s">
        <v>343</v>
      </c>
      <c r="B3" s="1318"/>
      <c r="C3" s="1318"/>
      <c r="D3" s="1318"/>
      <c r="E3" s="1317" t="s">
        <v>476</v>
      </c>
      <c r="F3" s="1317"/>
      <c r="G3" s="1317"/>
      <c r="H3" s="1317"/>
      <c r="I3" s="1317"/>
      <c r="J3" s="1317"/>
      <c r="K3" s="45"/>
      <c r="L3" s="1330" t="s">
        <v>475</v>
      </c>
      <c r="M3" s="1330"/>
      <c r="N3" s="1330"/>
      <c r="O3" s="41"/>
      <c r="P3" s="41"/>
    </row>
    <row r="4" spans="1:16" ht="21" customHeight="1">
      <c r="A4" s="1314" t="s">
        <v>362</v>
      </c>
      <c r="B4" s="1314"/>
      <c r="C4" s="1314"/>
      <c r="D4" s="1314"/>
      <c r="E4" s="48"/>
      <c r="F4" s="49"/>
      <c r="G4" s="50"/>
      <c r="H4" s="50"/>
      <c r="I4" s="50"/>
      <c r="J4" s="50"/>
      <c r="K4" s="41"/>
      <c r="L4" s="1319" t="s">
        <v>354</v>
      </c>
      <c r="M4" s="1319"/>
      <c r="N4" s="1319"/>
      <c r="O4" s="44"/>
      <c r="P4" s="41"/>
    </row>
    <row r="5" spans="1:16" ht="18" customHeight="1">
      <c r="A5" s="50"/>
      <c r="B5" s="41"/>
      <c r="C5" s="51"/>
      <c r="D5" s="1312"/>
      <c r="E5" s="1312"/>
      <c r="F5" s="1312"/>
      <c r="G5" s="1312"/>
      <c r="H5" s="1312"/>
      <c r="I5" s="1312"/>
      <c r="J5" s="1312"/>
      <c r="K5" s="1312"/>
      <c r="L5" s="52" t="s">
        <v>363</v>
      </c>
      <c r="M5" s="52"/>
      <c r="N5" s="52"/>
      <c r="O5" s="41"/>
      <c r="P5" s="41"/>
    </row>
    <row r="6" spans="1:18" ht="33" customHeight="1">
      <c r="A6" s="1305" t="s">
        <v>71</v>
      </c>
      <c r="B6" s="1306"/>
      <c r="C6" s="1313" t="s">
        <v>364</v>
      </c>
      <c r="D6" s="1313"/>
      <c r="E6" s="1313"/>
      <c r="F6" s="1313"/>
      <c r="G6" s="1309" t="s">
        <v>7</v>
      </c>
      <c r="H6" s="1310"/>
      <c r="I6" s="1310"/>
      <c r="J6" s="1310"/>
      <c r="K6" s="1310"/>
      <c r="L6" s="1310"/>
      <c r="M6" s="1310"/>
      <c r="N6" s="1311"/>
      <c r="O6" s="1320" t="s">
        <v>365</v>
      </c>
      <c r="P6" s="1321"/>
      <c r="Q6" s="1321"/>
      <c r="R6" s="1322"/>
    </row>
    <row r="7" spans="1:18" ht="29.25" customHeight="1">
      <c r="A7" s="1307"/>
      <c r="B7" s="1308"/>
      <c r="C7" s="1313"/>
      <c r="D7" s="1313"/>
      <c r="E7" s="1313"/>
      <c r="F7" s="1313"/>
      <c r="G7" s="1309" t="s">
        <v>366</v>
      </c>
      <c r="H7" s="1310"/>
      <c r="I7" s="1310"/>
      <c r="J7" s="1311"/>
      <c r="K7" s="1309" t="s">
        <v>109</v>
      </c>
      <c r="L7" s="1310"/>
      <c r="M7" s="1310"/>
      <c r="N7" s="1311"/>
      <c r="O7" s="54" t="s">
        <v>367</v>
      </c>
      <c r="P7" s="54" t="s">
        <v>368</v>
      </c>
      <c r="Q7" s="1323" t="s">
        <v>369</v>
      </c>
      <c r="R7" s="1323" t="s">
        <v>370</v>
      </c>
    </row>
    <row r="8" spans="1:18" ht="26.25" customHeight="1">
      <c r="A8" s="1307"/>
      <c r="B8" s="1308"/>
      <c r="C8" s="1292" t="s">
        <v>106</v>
      </c>
      <c r="D8" s="1293"/>
      <c r="E8" s="1292" t="s">
        <v>105</v>
      </c>
      <c r="F8" s="1293"/>
      <c r="G8" s="1292" t="s">
        <v>107</v>
      </c>
      <c r="H8" s="1294"/>
      <c r="I8" s="1292" t="s">
        <v>108</v>
      </c>
      <c r="J8" s="1294"/>
      <c r="K8" s="1292" t="s">
        <v>110</v>
      </c>
      <c r="L8" s="1294"/>
      <c r="M8" s="1292" t="s">
        <v>111</v>
      </c>
      <c r="N8" s="1294"/>
      <c r="O8" s="1325" t="s">
        <v>371</v>
      </c>
      <c r="P8" s="1326" t="s">
        <v>372</v>
      </c>
      <c r="Q8" s="1323"/>
      <c r="R8" s="1323"/>
    </row>
    <row r="9" spans="1:18" ht="30.75" customHeight="1">
      <c r="A9" s="1307"/>
      <c r="B9" s="1308"/>
      <c r="C9" s="55" t="s">
        <v>3</v>
      </c>
      <c r="D9" s="53" t="s">
        <v>10</v>
      </c>
      <c r="E9" s="53" t="s">
        <v>3</v>
      </c>
      <c r="F9" s="53" t="s">
        <v>10</v>
      </c>
      <c r="G9" s="56" t="s">
        <v>3</v>
      </c>
      <c r="H9" s="56" t="s">
        <v>10</v>
      </c>
      <c r="I9" s="56" t="s">
        <v>3</v>
      </c>
      <c r="J9" s="56" t="s">
        <v>10</v>
      </c>
      <c r="K9" s="56" t="s">
        <v>3</v>
      </c>
      <c r="L9" s="56" t="s">
        <v>10</v>
      </c>
      <c r="M9" s="56" t="s">
        <v>3</v>
      </c>
      <c r="N9" s="56" t="s">
        <v>10</v>
      </c>
      <c r="O9" s="1325"/>
      <c r="P9" s="1327"/>
      <c r="Q9" s="1324"/>
      <c r="R9" s="1324"/>
    </row>
    <row r="10" spans="1:18" s="61" customFormat="1" ht="18" customHeight="1">
      <c r="A10" s="1304" t="s">
        <v>6</v>
      </c>
      <c r="B10" s="1304"/>
      <c r="C10" s="57">
        <v>1</v>
      </c>
      <c r="D10" s="57">
        <v>2</v>
      </c>
      <c r="E10" s="57">
        <v>3</v>
      </c>
      <c r="F10" s="57">
        <v>4</v>
      </c>
      <c r="G10" s="57">
        <v>5</v>
      </c>
      <c r="H10" s="57">
        <v>6</v>
      </c>
      <c r="I10" s="57">
        <v>7</v>
      </c>
      <c r="J10" s="57">
        <v>8</v>
      </c>
      <c r="K10" s="57">
        <v>9</v>
      </c>
      <c r="L10" s="57">
        <v>10</v>
      </c>
      <c r="M10" s="57">
        <v>11</v>
      </c>
      <c r="N10" s="57">
        <v>12</v>
      </c>
      <c r="O10" s="58" t="s">
        <v>103</v>
      </c>
      <c r="P10" s="58" t="s">
        <v>104</v>
      </c>
      <c r="Q10" s="59"/>
      <c r="R10" s="60"/>
    </row>
    <row r="11" spans="1:18" s="61" customFormat="1" ht="18" customHeight="1" hidden="1">
      <c r="A11" s="1300" t="s">
        <v>373</v>
      </c>
      <c r="B11" s="1301"/>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302" t="s">
        <v>477</v>
      </c>
      <c r="B12" s="1303"/>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297" t="s">
        <v>37</v>
      </c>
      <c r="B13" s="129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97</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18</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51</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52</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57</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72</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73</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74</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75</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76</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77</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100</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101</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99" t="s">
        <v>478</v>
      </c>
      <c r="C28" s="1299"/>
      <c r="D28" s="1299"/>
      <c r="E28" s="1299"/>
      <c r="F28" s="84"/>
      <c r="G28" s="85"/>
      <c r="H28" s="85"/>
      <c r="I28" s="85"/>
      <c r="J28" s="1299" t="s">
        <v>479</v>
      </c>
      <c r="K28" s="1299"/>
      <c r="L28" s="1299"/>
      <c r="M28" s="1299"/>
      <c r="N28" s="1299"/>
      <c r="O28" s="86"/>
      <c r="P28" s="86"/>
      <c r="AG28" s="87" t="s">
        <v>394</v>
      </c>
      <c r="AI28" s="88">
        <f>82/88</f>
        <v>0.9318181818181818</v>
      </c>
    </row>
    <row r="29" spans="1:16" s="94" customFormat="1" ht="19.5" customHeight="1">
      <c r="A29" s="89"/>
      <c r="B29" s="1291" t="s">
        <v>42</v>
      </c>
      <c r="C29" s="1291"/>
      <c r="D29" s="1291"/>
      <c r="E29" s="1291"/>
      <c r="F29" s="91"/>
      <c r="G29" s="92"/>
      <c r="H29" s="92"/>
      <c r="I29" s="92"/>
      <c r="J29" s="1291" t="s">
        <v>395</v>
      </c>
      <c r="K29" s="1291"/>
      <c r="L29" s="1291"/>
      <c r="M29" s="1291"/>
      <c r="N29" s="1291"/>
      <c r="O29" s="93"/>
      <c r="P29" s="93"/>
    </row>
    <row r="30" spans="1:16" s="94" customFormat="1" ht="19.5" customHeight="1">
      <c r="A30" s="89"/>
      <c r="B30" s="1295"/>
      <c r="C30" s="1295"/>
      <c r="D30" s="1295"/>
      <c r="E30" s="91"/>
      <c r="F30" s="91"/>
      <c r="G30" s="92"/>
      <c r="H30" s="92"/>
      <c r="I30" s="92"/>
      <c r="J30" s="1296"/>
      <c r="K30" s="1296"/>
      <c r="L30" s="1296"/>
      <c r="M30" s="1296"/>
      <c r="N30" s="1296"/>
      <c r="O30" s="93"/>
      <c r="P30" s="93"/>
    </row>
    <row r="31" spans="1:16" s="94" customFormat="1" ht="8.25" customHeight="1">
      <c r="A31" s="89"/>
      <c r="B31" s="95"/>
      <c r="C31" s="95" t="s">
        <v>102</v>
      </c>
      <c r="D31" s="95"/>
      <c r="E31" s="96"/>
      <c r="F31" s="96"/>
      <c r="G31" s="97"/>
      <c r="H31" s="97"/>
      <c r="I31" s="97"/>
      <c r="J31" s="95"/>
      <c r="K31" s="95"/>
      <c r="L31" s="95"/>
      <c r="M31" s="95"/>
      <c r="N31" s="95"/>
      <c r="O31" s="93"/>
      <c r="P31" s="93"/>
    </row>
    <row r="32" spans="1:16" s="94" customFormat="1" ht="9" customHeight="1">
      <c r="A32" s="89"/>
      <c r="B32" s="1329" t="s">
        <v>396</v>
      </c>
      <c r="C32" s="1329"/>
      <c r="D32" s="1329"/>
      <c r="E32" s="1329"/>
      <c r="F32" s="96"/>
      <c r="G32" s="97"/>
      <c r="H32" s="97"/>
      <c r="I32" s="97"/>
      <c r="J32" s="1328" t="s">
        <v>396</v>
      </c>
      <c r="K32" s="1328"/>
      <c r="L32" s="1328"/>
      <c r="M32" s="1328"/>
      <c r="N32" s="1328"/>
      <c r="O32" s="93"/>
      <c r="P32" s="93"/>
    </row>
    <row r="33" spans="1:16" s="94" customFormat="1" ht="19.5" customHeight="1">
      <c r="A33" s="89"/>
      <c r="B33" s="1291" t="s">
        <v>397</v>
      </c>
      <c r="C33" s="1291"/>
      <c r="D33" s="1291"/>
      <c r="E33" s="1291"/>
      <c r="F33" s="91"/>
      <c r="G33" s="92"/>
      <c r="H33" s="92"/>
      <c r="I33" s="92"/>
      <c r="J33" s="90"/>
      <c r="K33" s="1291" t="s">
        <v>397</v>
      </c>
      <c r="L33" s="1291"/>
      <c r="M33" s="1291"/>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89" t="s">
        <v>350</v>
      </c>
      <c r="C36" s="1289"/>
      <c r="D36" s="1289"/>
      <c r="E36" s="1289"/>
      <c r="F36" s="100"/>
      <c r="G36" s="100"/>
      <c r="H36" s="100"/>
      <c r="I36" s="100"/>
      <c r="J36" s="1290" t="s">
        <v>351</v>
      </c>
      <c r="K36" s="1290"/>
      <c r="L36" s="1290"/>
      <c r="M36" s="1290"/>
      <c r="N36" s="1290"/>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L2:N2"/>
    <mergeCell ref="L3:N3"/>
    <mergeCell ref="G7:J7"/>
    <mergeCell ref="K8:L8"/>
    <mergeCell ref="J28:N28"/>
    <mergeCell ref="J29:N29"/>
    <mergeCell ref="L4:N4"/>
    <mergeCell ref="O6:R6"/>
    <mergeCell ref="R7:R9"/>
    <mergeCell ref="Q7:Q9"/>
    <mergeCell ref="O8:O9"/>
    <mergeCell ref="P8:P9"/>
    <mergeCell ref="D5:K5"/>
    <mergeCell ref="C6:F7"/>
    <mergeCell ref="A4:D4"/>
    <mergeCell ref="E1:K2"/>
    <mergeCell ref="A1:D1"/>
    <mergeCell ref="E3:J3"/>
    <mergeCell ref="A3:D3"/>
    <mergeCell ref="A2:D2"/>
    <mergeCell ref="A11:B11"/>
    <mergeCell ref="A12:B12"/>
    <mergeCell ref="A10:B10"/>
    <mergeCell ref="A6:B9"/>
    <mergeCell ref="G6:N6"/>
    <mergeCell ref="I8:J8"/>
    <mergeCell ref="M8:N8"/>
    <mergeCell ref="K7:N7"/>
    <mergeCell ref="B36:E36"/>
    <mergeCell ref="J36:N36"/>
    <mergeCell ref="B29:E29"/>
    <mergeCell ref="E8:F8"/>
    <mergeCell ref="G8:H8"/>
    <mergeCell ref="C8:D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zoomScale="80" zoomScaleNormal="80" zoomScaleSheetLayoutView="85" zoomScalePageLayoutView="0" workbookViewId="0" topLeftCell="A16">
      <selection activeCell="C29" sqref="C29"/>
    </sheetView>
  </sheetViews>
  <sheetFormatPr defaultColWidth="9.00390625" defaultRowHeight="15.75"/>
  <cols>
    <col min="1" max="1" width="4.25390625" style="423" customWidth="1"/>
    <col min="2" max="2" width="46.375" style="423" customWidth="1"/>
    <col min="3" max="3" width="40.00390625" style="423" customWidth="1"/>
    <col min="4" max="16384" width="9.00390625" style="423" customWidth="1"/>
  </cols>
  <sheetData>
    <row r="1" spans="1:3" s="435" customFormat="1" ht="36" customHeight="1">
      <c r="A1" s="1616" t="s">
        <v>204</v>
      </c>
      <c r="B1" s="1617"/>
      <c r="C1" s="1617"/>
    </row>
    <row r="2" spans="1:3" s="472" customFormat="1" ht="19.5" customHeight="1">
      <c r="A2" s="1618" t="s">
        <v>69</v>
      </c>
      <c r="B2" s="1619"/>
      <c r="C2" s="471" t="s">
        <v>340</v>
      </c>
    </row>
    <row r="3" spans="1:3" s="443" customFormat="1" ht="18.75" customHeight="1">
      <c r="A3" s="1629" t="s">
        <v>6</v>
      </c>
      <c r="B3" s="1630"/>
      <c r="C3" s="440">
        <v>1</v>
      </c>
    </row>
    <row r="4" spans="1:3" s="443" customFormat="1" ht="19.5" customHeight="1">
      <c r="A4" s="440" t="s">
        <v>51</v>
      </c>
      <c r="B4" s="521" t="s">
        <v>555</v>
      </c>
      <c r="C4" s="402">
        <f>C5+C6+C7+C8+C9+C10+C11+C12+C13</f>
        <v>16028084</v>
      </c>
    </row>
    <row r="5" spans="1:3" s="26" customFormat="1" ht="19.5" customHeight="1">
      <c r="A5" s="444" t="s">
        <v>53</v>
      </c>
      <c r="B5" s="522" t="s">
        <v>167</v>
      </c>
      <c r="C5" s="406"/>
    </row>
    <row r="6" spans="1:3" s="26" customFormat="1" ht="19.5" customHeight="1">
      <c r="A6" s="445" t="s">
        <v>54</v>
      </c>
      <c r="B6" s="522" t="s">
        <v>169</v>
      </c>
      <c r="C6" s="406"/>
    </row>
    <row r="7" spans="1:5" s="26" customFormat="1" ht="19.5" customHeight="1">
      <c r="A7" s="445" t="s">
        <v>140</v>
      </c>
      <c r="B7" s="522" t="s">
        <v>179</v>
      </c>
      <c r="C7" s="406">
        <f>100000</f>
        <v>100000</v>
      </c>
      <c r="E7" s="26" t="s">
        <v>791</v>
      </c>
    </row>
    <row r="8" spans="1:3" s="26" customFormat="1" ht="19.5" customHeight="1">
      <c r="A8" s="445" t="s">
        <v>142</v>
      </c>
      <c r="B8" s="522" t="s">
        <v>171</v>
      </c>
      <c r="C8" s="406">
        <f>14389358+1388726+150000</f>
        <v>15928084</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558</v>
      </c>
      <c r="B13" s="522" t="s">
        <v>159</v>
      </c>
      <c r="C13" s="406"/>
    </row>
    <row r="14" spans="1:3" s="446" customFormat="1" ht="19.5" customHeight="1">
      <c r="A14" s="440" t="s">
        <v>52</v>
      </c>
      <c r="B14" s="521" t="s">
        <v>556</v>
      </c>
      <c r="C14" s="402">
        <f>C15+C16</f>
        <v>0</v>
      </c>
    </row>
    <row r="15" spans="1:3" s="446" customFormat="1" ht="19.5" customHeight="1">
      <c r="A15" s="444" t="s">
        <v>55</v>
      </c>
      <c r="B15" s="522" t="s">
        <v>187</v>
      </c>
      <c r="C15" s="1153"/>
    </row>
    <row r="16" spans="1:3" s="446" customFormat="1" ht="19.5" customHeight="1">
      <c r="A16" s="444" t="s">
        <v>56</v>
      </c>
      <c r="B16" s="522" t="s">
        <v>159</v>
      </c>
      <c r="C16" s="406"/>
    </row>
    <row r="17" spans="1:3" s="443" customFormat="1" ht="19.5" customHeight="1">
      <c r="A17" s="440" t="s">
        <v>57</v>
      </c>
      <c r="B17" s="535" t="s">
        <v>149</v>
      </c>
      <c r="C17" s="402">
        <f>C18+C19+C20</f>
        <v>312356</v>
      </c>
    </row>
    <row r="18" spans="1:3" ht="19.5" customHeight="1">
      <c r="A18" s="444" t="s">
        <v>160</v>
      </c>
      <c r="B18" s="522" t="s">
        <v>188</v>
      </c>
      <c r="C18" s="406">
        <f>116540+64616+11200</f>
        <v>192356</v>
      </c>
    </row>
    <row r="19" spans="1:3" s="26" customFormat="1" ht="30">
      <c r="A19" s="445" t="s">
        <v>162</v>
      </c>
      <c r="B19" s="522" t="s">
        <v>163</v>
      </c>
      <c r="C19" s="406">
        <f>120000</f>
        <v>120000</v>
      </c>
    </row>
    <row r="20" spans="1:3" s="26" customFormat="1" ht="30.75" customHeight="1">
      <c r="A20" s="445" t="s">
        <v>164</v>
      </c>
      <c r="B20" s="522" t="s">
        <v>165</v>
      </c>
      <c r="C20" s="406"/>
    </row>
    <row r="21" spans="1:3" s="26" customFormat="1" ht="19.5" customHeight="1">
      <c r="A21" s="445" t="s">
        <v>72</v>
      </c>
      <c r="B21" s="521" t="s">
        <v>553</v>
      </c>
      <c r="C21" s="402">
        <f>C22+C23+C24+C25+C26+C27+C28</f>
        <v>1427903</v>
      </c>
    </row>
    <row r="22" spans="1:3" s="26" customFormat="1" ht="19.5" customHeight="1">
      <c r="A22" s="445" t="s">
        <v>166</v>
      </c>
      <c r="B22" s="522" t="s">
        <v>167</v>
      </c>
      <c r="C22" s="406">
        <f>24823+17435</f>
        <v>42258</v>
      </c>
    </row>
    <row r="23" spans="1:3" s="26" customFormat="1" ht="19.5" customHeight="1">
      <c r="A23" s="445" t="s">
        <v>168</v>
      </c>
      <c r="B23" s="522" t="s">
        <v>169</v>
      </c>
      <c r="C23" s="406"/>
    </row>
    <row r="24" spans="1:3" s="26" customFormat="1" ht="19.5" customHeight="1">
      <c r="A24" s="445" t="s">
        <v>170</v>
      </c>
      <c r="B24" s="522" t="s">
        <v>189</v>
      </c>
      <c r="C24" s="990">
        <f>1216711+24535+131181+7369+5849</f>
        <v>1385645</v>
      </c>
    </row>
    <row r="25" spans="1:3" s="26" customFormat="1" ht="19.5" customHeight="1">
      <c r="A25" s="445" t="s">
        <v>172</v>
      </c>
      <c r="B25" s="522" t="s">
        <v>154</v>
      </c>
      <c r="C25" s="990"/>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557</v>
      </c>
      <c r="C29" s="402">
        <f>C30+C31+C32</f>
        <v>53628795</v>
      </c>
    </row>
    <row r="30" spans="1:3" ht="19.5" customHeight="1">
      <c r="A30" s="445" t="s">
        <v>176</v>
      </c>
      <c r="B30" s="522" t="s">
        <v>167</v>
      </c>
      <c r="C30" s="406">
        <v>53424154</v>
      </c>
    </row>
    <row r="31" spans="1:3" s="26" customFormat="1" ht="19.5" customHeight="1">
      <c r="A31" s="445" t="s">
        <v>177</v>
      </c>
      <c r="B31" s="522" t="s">
        <v>169</v>
      </c>
      <c r="C31" s="406"/>
    </row>
    <row r="32" spans="1:3" s="26" customFormat="1" ht="19.5" customHeight="1">
      <c r="A32" s="445" t="s">
        <v>178</v>
      </c>
      <c r="B32" s="522" t="s">
        <v>189</v>
      </c>
      <c r="C32" s="406">
        <f>204641</f>
        <v>204641</v>
      </c>
    </row>
    <row r="33" spans="1:3" s="26" customFormat="1" ht="15.75">
      <c r="A33" s="447"/>
      <c r="B33" s="448"/>
      <c r="C33" s="448"/>
    </row>
    <row r="34" spans="1:3" s="408" customFormat="1" ht="18.75">
      <c r="A34" s="1633" t="str">
        <f>'Thong tin'!B8</f>
        <v>Tuyên Quang, ngày 05 tháng 04 năm 2018</v>
      </c>
      <c r="B34" s="1633"/>
      <c r="C34" s="1633"/>
    </row>
    <row r="35" spans="1:3" s="473" customFormat="1" ht="18.75">
      <c r="A35" s="1615" t="s">
        <v>4</v>
      </c>
      <c r="B35" s="1615"/>
      <c r="C35" s="523" t="str">
        <f>'Thong tin'!B7</f>
        <v>CỤC TRƯỞNG</v>
      </c>
    </row>
    <row r="36" spans="1:3" s="408" customFormat="1" ht="18.75">
      <c r="A36" s="543"/>
      <c r="B36" s="525"/>
      <c r="C36" s="525"/>
    </row>
    <row r="37" spans="1:3" s="408" customFormat="1" ht="18.75">
      <c r="A37" s="524"/>
      <c r="B37" s="525"/>
      <c r="C37" s="525"/>
    </row>
    <row r="38" spans="1:3" s="408" customFormat="1" ht="15.75">
      <c r="A38" s="524"/>
      <c r="B38" s="524"/>
      <c r="C38" s="524"/>
    </row>
    <row r="39" spans="1:3" ht="15.75">
      <c r="A39" s="527"/>
      <c r="B39" s="528"/>
      <c r="C39" s="529"/>
    </row>
    <row r="40" spans="1:3" s="443" customFormat="1" ht="18.75">
      <c r="A40" s="1614" t="str">
        <f>'Thong tin'!B5</f>
        <v>Duy Thị Thúy</v>
      </c>
      <c r="B40" s="1614"/>
      <c r="C40" s="531" t="str">
        <f>'Thong tin'!B6</f>
        <v>Nguyễn Tuyên </v>
      </c>
    </row>
  </sheetData>
  <sheetProtection/>
  <mergeCells count="6">
    <mergeCell ref="A2:B2"/>
    <mergeCell ref="A1:C1"/>
    <mergeCell ref="A3:B3"/>
    <mergeCell ref="A40:B40"/>
    <mergeCell ref="A35:B35"/>
    <mergeCell ref="A34:C34"/>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240"/>
  <sheetViews>
    <sheetView showZeros="0" zoomScale="80" zoomScaleNormal="80" zoomScaleSheetLayoutView="85" zoomScalePageLayoutView="0" workbookViewId="0" topLeftCell="A1">
      <selection activeCell="B251" sqref="B251"/>
    </sheetView>
  </sheetViews>
  <sheetFormatPr defaultColWidth="9.00390625" defaultRowHeight="15.75"/>
  <cols>
    <col min="1" max="1" width="6.75390625" style="477" customWidth="1"/>
    <col min="2" max="2" width="23.25390625" style="477" customWidth="1"/>
    <col min="3" max="3" width="12.625" style="477" customWidth="1"/>
    <col min="4" max="4" width="12.125" style="477" customWidth="1"/>
    <col min="5" max="5" width="9.375" style="477" customWidth="1"/>
    <col min="6" max="7" width="11.50390625" style="477" customWidth="1"/>
    <col min="8" max="8" width="10.75390625" style="477" customWidth="1"/>
    <col min="9" max="9" width="11.50390625" style="477" customWidth="1"/>
    <col min="10" max="10" width="11.25390625" style="477" customWidth="1"/>
    <col min="11" max="11" width="15.875" style="477" customWidth="1"/>
    <col min="12" max="12" width="13.37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6384" width="9.00390625" style="477" customWidth="1"/>
  </cols>
  <sheetData>
    <row r="1" spans="1:13" ht="21" customHeight="1">
      <c r="A1" s="1659" t="s">
        <v>32</v>
      </c>
      <c r="B1" s="1660"/>
      <c r="C1" s="474"/>
      <c r="D1" s="1654" t="s">
        <v>78</v>
      </c>
      <c r="E1" s="1654"/>
      <c r="F1" s="1654"/>
      <c r="G1" s="1654"/>
      <c r="H1" s="1654"/>
      <c r="I1" s="1654"/>
      <c r="J1" s="1654"/>
      <c r="K1" s="1657" t="s">
        <v>540</v>
      </c>
      <c r="L1" s="1657"/>
      <c r="M1" s="475"/>
    </row>
    <row r="2" spans="1:13" ht="16.5" customHeight="1">
      <c r="A2" s="1626" t="s">
        <v>342</v>
      </c>
      <c r="B2" s="1626"/>
      <c r="C2" s="1626"/>
      <c r="D2" s="1654" t="s">
        <v>214</v>
      </c>
      <c r="E2" s="1654"/>
      <c r="F2" s="1654"/>
      <c r="G2" s="1654"/>
      <c r="H2" s="1654"/>
      <c r="I2" s="1654"/>
      <c r="J2" s="1654"/>
      <c r="K2" s="1655" t="str">
        <f>'Thong tin'!B4</f>
        <v>Cục THADS tỉnh Tuyên Quang</v>
      </c>
      <c r="L2" s="1655"/>
      <c r="M2" s="478"/>
    </row>
    <row r="3" spans="1:13" ht="16.5" customHeight="1">
      <c r="A3" s="1626" t="s">
        <v>343</v>
      </c>
      <c r="B3" s="1626"/>
      <c r="C3" s="414"/>
      <c r="D3" s="1661" t="str">
        <f>'Thong tin'!B3</f>
        <v>06 tháng / năm 2018</v>
      </c>
      <c r="E3" s="1661"/>
      <c r="F3" s="1661"/>
      <c r="G3" s="1661"/>
      <c r="H3" s="1661"/>
      <c r="I3" s="1661"/>
      <c r="J3" s="1661"/>
      <c r="K3" s="1657" t="s">
        <v>507</v>
      </c>
      <c r="L3" s="1657"/>
      <c r="M3" s="475"/>
    </row>
    <row r="4" spans="1:13" ht="13.5" customHeight="1">
      <c r="A4" s="433" t="s">
        <v>118</v>
      </c>
      <c r="B4" s="433"/>
      <c r="C4" s="420"/>
      <c r="D4" s="479"/>
      <c r="E4" s="479"/>
      <c r="F4" s="480"/>
      <c r="G4" s="480"/>
      <c r="H4" s="480"/>
      <c r="I4" s="480"/>
      <c r="J4" s="480"/>
      <c r="K4" s="1655" t="s">
        <v>410</v>
      </c>
      <c r="L4" s="1655"/>
      <c r="M4" s="478"/>
    </row>
    <row r="5" spans="1:13" ht="14.25" customHeight="1">
      <c r="A5" s="479"/>
      <c r="B5" s="479" t="s">
        <v>93</v>
      </c>
      <c r="C5" s="479"/>
      <c r="D5" s="479"/>
      <c r="E5" s="1658" t="s">
        <v>506</v>
      </c>
      <c r="F5" s="1658"/>
      <c r="G5" s="1658"/>
      <c r="H5" s="1658"/>
      <c r="I5" s="1658"/>
      <c r="J5" s="479"/>
      <c r="K5" s="1656" t="s">
        <v>194</v>
      </c>
      <c r="L5" s="1656"/>
      <c r="M5" s="475"/>
    </row>
    <row r="6" spans="1:16" ht="20.25" customHeight="1">
      <c r="A6" s="1282" t="s">
        <v>70</v>
      </c>
      <c r="B6" s="1283"/>
      <c r="C6" s="1651" t="s">
        <v>37</v>
      </c>
      <c r="D6" s="1634" t="s">
        <v>337</v>
      </c>
      <c r="E6" s="1634"/>
      <c r="F6" s="1634"/>
      <c r="G6" s="1634"/>
      <c r="H6" s="1634"/>
      <c r="I6" s="1634"/>
      <c r="J6" s="1634"/>
      <c r="K6" s="1634"/>
      <c r="L6" s="1634"/>
      <c r="M6" s="478"/>
      <c r="N6" s="1653" t="s">
        <v>505</v>
      </c>
      <c r="O6" s="1653"/>
      <c r="P6" s="1653"/>
    </row>
    <row r="7" spans="1:13" ht="20.25" customHeight="1">
      <c r="A7" s="1284"/>
      <c r="B7" s="1285"/>
      <c r="C7" s="1651"/>
      <c r="D7" s="1635" t="s">
        <v>205</v>
      </c>
      <c r="E7" s="1636"/>
      <c r="F7" s="1636"/>
      <c r="G7" s="1636"/>
      <c r="H7" s="1636"/>
      <c r="I7" s="1636"/>
      <c r="J7" s="1637"/>
      <c r="K7" s="1638" t="s">
        <v>206</v>
      </c>
      <c r="L7" s="1638" t="s">
        <v>207</v>
      </c>
      <c r="M7" s="475"/>
    </row>
    <row r="8" spans="1:13" ht="20.25" customHeight="1">
      <c r="A8" s="1284"/>
      <c r="B8" s="1285"/>
      <c r="C8" s="1651"/>
      <c r="D8" s="1643" t="s">
        <v>36</v>
      </c>
      <c r="E8" s="1644" t="s">
        <v>7</v>
      </c>
      <c r="F8" s="1645"/>
      <c r="G8" s="1645"/>
      <c r="H8" s="1645"/>
      <c r="I8" s="1645"/>
      <c r="J8" s="1646"/>
      <c r="K8" s="1639"/>
      <c r="L8" s="1641"/>
      <c r="M8" s="475"/>
    </row>
    <row r="9" spans="1:16" ht="20.25" customHeight="1">
      <c r="A9" s="1649"/>
      <c r="B9" s="1650"/>
      <c r="C9" s="1651"/>
      <c r="D9" s="1643"/>
      <c r="E9" s="551" t="s">
        <v>208</v>
      </c>
      <c r="F9" s="551" t="s">
        <v>209</v>
      </c>
      <c r="G9" s="551" t="s">
        <v>210</v>
      </c>
      <c r="H9" s="551" t="s">
        <v>211</v>
      </c>
      <c r="I9" s="551" t="s">
        <v>344</v>
      </c>
      <c r="J9" s="551" t="s">
        <v>212</v>
      </c>
      <c r="K9" s="1640"/>
      <c r="L9" s="1642"/>
      <c r="M9" s="1663" t="s">
        <v>498</v>
      </c>
      <c r="N9" s="1663"/>
      <c r="O9" s="1663"/>
      <c r="P9" s="1663"/>
    </row>
    <row r="10" spans="1:18" s="486" customFormat="1" ht="16.5" customHeight="1">
      <c r="A10" s="1647" t="s">
        <v>6</v>
      </c>
      <c r="B10" s="1648"/>
      <c r="C10" s="481">
        <v>1</v>
      </c>
      <c r="D10" s="482">
        <v>2</v>
      </c>
      <c r="E10" s="481">
        <v>3</v>
      </c>
      <c r="F10" s="482">
        <v>4</v>
      </c>
      <c r="G10" s="481">
        <v>5</v>
      </c>
      <c r="H10" s="482">
        <v>6</v>
      </c>
      <c r="I10" s="481">
        <v>7</v>
      </c>
      <c r="J10" s="482">
        <v>8</v>
      </c>
      <c r="K10" s="481">
        <v>9</v>
      </c>
      <c r="L10" s="482">
        <v>10</v>
      </c>
      <c r="M10" s="483" t="s">
        <v>499</v>
      </c>
      <c r="N10" s="484" t="s">
        <v>502</v>
      </c>
      <c r="O10" s="484" t="s">
        <v>500</v>
      </c>
      <c r="P10" s="484" t="s">
        <v>501</v>
      </c>
      <c r="Q10" s="485"/>
      <c r="R10" s="485"/>
    </row>
    <row r="11" spans="1:18" s="487" customFormat="1" ht="19.5" customHeight="1">
      <c r="A11" s="506" t="s">
        <v>0</v>
      </c>
      <c r="B11" s="427" t="s">
        <v>130</v>
      </c>
      <c r="C11" s="994">
        <f>D11+K11+L11</f>
        <v>117372735</v>
      </c>
      <c r="D11" s="994">
        <f>E11+F11+G11+H11+I11+J11</f>
        <v>14492549</v>
      </c>
      <c r="E11" s="994">
        <f aca="true" t="shared" si="0" ref="E11:L11">E12+E13</f>
        <v>4267274</v>
      </c>
      <c r="F11" s="994">
        <f t="shared" si="0"/>
        <v>800</v>
      </c>
      <c r="G11" s="994">
        <f t="shared" si="0"/>
        <v>3064483</v>
      </c>
      <c r="H11" s="994">
        <f t="shared" si="0"/>
        <v>245841</v>
      </c>
      <c r="I11" s="994">
        <f t="shared" si="0"/>
        <v>1875602</v>
      </c>
      <c r="J11" s="994">
        <f t="shared" si="0"/>
        <v>5038549</v>
      </c>
      <c r="K11" s="994">
        <f t="shared" si="0"/>
        <v>12581110</v>
      </c>
      <c r="L11" s="994">
        <f t="shared" si="0"/>
        <v>90299076</v>
      </c>
      <c r="M11" s="402">
        <f>'03'!C11+'04'!C11</f>
        <v>117372735</v>
      </c>
      <c r="N11" s="402">
        <f>C11-M11</f>
        <v>0</v>
      </c>
      <c r="O11" s="402">
        <f>'07'!C11</f>
        <v>117372735</v>
      </c>
      <c r="P11" s="402">
        <f>C11-O11</f>
        <v>0</v>
      </c>
      <c r="Q11" s="390"/>
      <c r="R11" s="390"/>
    </row>
    <row r="12" spans="1:18" s="487" customFormat="1" ht="19.5" customHeight="1">
      <c r="A12" s="507">
        <v>1</v>
      </c>
      <c r="B12" s="429" t="s">
        <v>131</v>
      </c>
      <c r="C12" s="851">
        <f aca="true" t="shared" si="1" ref="C12:C25">SUM(D12,K12,L12)</f>
        <v>95712620</v>
      </c>
      <c r="D12" s="995">
        <f aca="true" t="shared" si="2" ref="D12:D25">SUM(E12:J12)</f>
        <v>10562861</v>
      </c>
      <c r="E12" s="808">
        <f>E51+E76+E100+E125+E150+E175+E200+E225</f>
        <v>2970147</v>
      </c>
      <c r="F12" s="808">
        <f aca="true" t="shared" si="3" ref="F12:L12">F51+F76+F100+F125+F150+F175+F200+F225</f>
        <v>0</v>
      </c>
      <c r="G12" s="808">
        <f t="shared" si="3"/>
        <v>2394654</v>
      </c>
      <c r="H12" s="808">
        <f t="shared" si="3"/>
        <v>32943</v>
      </c>
      <c r="I12" s="808">
        <f t="shared" si="3"/>
        <v>1661818</v>
      </c>
      <c r="J12" s="808">
        <f t="shared" si="3"/>
        <v>3503299</v>
      </c>
      <c r="K12" s="808">
        <f t="shared" si="3"/>
        <v>8810404</v>
      </c>
      <c r="L12" s="808">
        <f t="shared" si="3"/>
        <v>76339355</v>
      </c>
      <c r="M12" s="406">
        <f>'03'!C12+'04'!C12</f>
        <v>95712620</v>
      </c>
      <c r="N12" s="406">
        <f aca="true" t="shared" si="4" ref="N12:N26">C12-M12</f>
        <v>0</v>
      </c>
      <c r="O12" s="406">
        <f>'07'!D11</f>
        <v>95712620</v>
      </c>
      <c r="P12" s="406">
        <f aca="true" t="shared" si="5" ref="P12:P26">C12-O12</f>
        <v>0</v>
      </c>
      <c r="Q12" s="400"/>
      <c r="R12" s="428"/>
    </row>
    <row r="13" spans="1:18" s="487" customFormat="1" ht="19.5" customHeight="1">
      <c r="A13" s="507">
        <v>2</v>
      </c>
      <c r="B13" s="429" t="s">
        <v>132</v>
      </c>
      <c r="C13" s="851">
        <f t="shared" si="1"/>
        <v>21660115</v>
      </c>
      <c r="D13" s="995">
        <f t="shared" si="2"/>
        <v>3929688</v>
      </c>
      <c r="E13" s="808">
        <f aca="true" t="shared" si="6" ref="E13:L15">E52+E77+E101+E126+E151+E176+E201+E226</f>
        <v>1297127</v>
      </c>
      <c r="F13" s="808">
        <f t="shared" si="6"/>
        <v>800</v>
      </c>
      <c r="G13" s="808">
        <f t="shared" si="6"/>
        <v>669829</v>
      </c>
      <c r="H13" s="808">
        <f t="shared" si="6"/>
        <v>212898</v>
      </c>
      <c r="I13" s="808">
        <f t="shared" si="6"/>
        <v>213784</v>
      </c>
      <c r="J13" s="808">
        <f t="shared" si="6"/>
        <v>1535250</v>
      </c>
      <c r="K13" s="808">
        <f t="shared" si="6"/>
        <v>3770706</v>
      </c>
      <c r="L13" s="808">
        <f t="shared" si="6"/>
        <v>13959721</v>
      </c>
      <c r="M13" s="406">
        <f>'03'!C13+'04'!C13</f>
        <v>21660115</v>
      </c>
      <c r="N13" s="406">
        <f t="shared" si="4"/>
        <v>0</v>
      </c>
      <c r="O13" s="406">
        <f>'07'!E11</f>
        <v>21660115</v>
      </c>
      <c r="P13" s="406">
        <f t="shared" si="5"/>
        <v>0</v>
      </c>
      <c r="Q13" s="400"/>
      <c r="R13" s="428"/>
    </row>
    <row r="14" spans="1:18" s="487" customFormat="1" ht="19.5" customHeight="1">
      <c r="A14" s="508" t="s">
        <v>1</v>
      </c>
      <c r="B14" s="394" t="s">
        <v>133</v>
      </c>
      <c r="C14" s="851">
        <f t="shared" si="1"/>
        <v>7844406</v>
      </c>
      <c r="D14" s="995">
        <f t="shared" si="2"/>
        <v>233618</v>
      </c>
      <c r="E14" s="810">
        <f t="shared" si="6"/>
        <v>132468</v>
      </c>
      <c r="F14" s="810">
        <f t="shared" si="6"/>
        <v>0</v>
      </c>
      <c r="G14" s="810">
        <f t="shared" si="6"/>
        <v>31000</v>
      </c>
      <c r="H14" s="810">
        <f t="shared" si="6"/>
        <v>0</v>
      </c>
      <c r="I14" s="810">
        <f t="shared" si="6"/>
        <v>70150</v>
      </c>
      <c r="J14" s="810">
        <f t="shared" si="6"/>
        <v>0</v>
      </c>
      <c r="K14" s="1130">
        <f>7455288</f>
        <v>7455288</v>
      </c>
      <c r="L14" s="810">
        <f t="shared" si="6"/>
        <v>155500</v>
      </c>
      <c r="M14" s="406">
        <f>'03'!C14+'04'!C14</f>
        <v>7844406</v>
      </c>
      <c r="N14" s="406">
        <f t="shared" si="4"/>
        <v>0</v>
      </c>
      <c r="O14" s="406">
        <f>'07'!F11</f>
        <v>7844406</v>
      </c>
      <c r="P14" s="406">
        <f t="shared" si="5"/>
        <v>0</v>
      </c>
      <c r="Q14" s="390"/>
      <c r="R14" s="428"/>
    </row>
    <row r="15" spans="1:18" s="487" customFormat="1" ht="19.5" customHeight="1">
      <c r="A15" s="508" t="s">
        <v>9</v>
      </c>
      <c r="B15" s="394" t="s">
        <v>134</v>
      </c>
      <c r="C15" s="851">
        <f t="shared" si="1"/>
        <v>0</v>
      </c>
      <c r="D15" s="851">
        <f>E15+F15+G15+H15+I15+J15</f>
        <v>0</v>
      </c>
      <c r="E15" s="810">
        <f t="shared" si="6"/>
        <v>0</v>
      </c>
      <c r="F15" s="810">
        <f t="shared" si="6"/>
        <v>0</v>
      </c>
      <c r="G15" s="810">
        <f t="shared" si="6"/>
        <v>0</v>
      </c>
      <c r="H15" s="810">
        <f t="shared" si="6"/>
        <v>0</v>
      </c>
      <c r="I15" s="810">
        <f t="shared" si="6"/>
        <v>0</v>
      </c>
      <c r="J15" s="810">
        <f t="shared" si="6"/>
        <v>0</v>
      </c>
      <c r="K15" s="810"/>
      <c r="L15" s="810">
        <f t="shared" si="6"/>
        <v>0</v>
      </c>
      <c r="M15" s="406">
        <f>'03'!C15+'04'!C15</f>
        <v>0</v>
      </c>
      <c r="N15" s="406">
        <f t="shared" si="4"/>
        <v>0</v>
      </c>
      <c r="O15" s="406">
        <f>'07'!G11</f>
        <v>0</v>
      </c>
      <c r="P15" s="406">
        <f t="shared" si="5"/>
        <v>0</v>
      </c>
      <c r="Q15" s="390"/>
      <c r="R15" s="390"/>
    </row>
    <row r="16" spans="1:18" s="487" customFormat="1" ht="19.5" customHeight="1">
      <c r="A16" s="508" t="s">
        <v>135</v>
      </c>
      <c r="B16" s="394" t="s">
        <v>136</v>
      </c>
      <c r="C16" s="996">
        <f t="shared" si="1"/>
        <v>109528329</v>
      </c>
      <c r="D16" s="996">
        <f t="shared" si="2"/>
        <v>14258931</v>
      </c>
      <c r="E16" s="994">
        <f>E11-SUM(E14,E15)</f>
        <v>4134806</v>
      </c>
      <c r="F16" s="994">
        <f aca="true" t="shared" si="7" ref="F16:L16">F11-SUM(F14,F15)</f>
        <v>800</v>
      </c>
      <c r="G16" s="994">
        <f t="shared" si="7"/>
        <v>3033483</v>
      </c>
      <c r="H16" s="996">
        <f>H11-SUM(H14,H15)</f>
        <v>245841</v>
      </c>
      <c r="I16" s="994">
        <f t="shared" si="7"/>
        <v>1805452</v>
      </c>
      <c r="J16" s="994">
        <f t="shared" si="7"/>
        <v>5038549</v>
      </c>
      <c r="K16" s="994">
        <f>K11-SUM(K14)</f>
        <v>5125822</v>
      </c>
      <c r="L16" s="994">
        <f t="shared" si="7"/>
        <v>90143576</v>
      </c>
      <c r="M16" s="402">
        <f>'03'!C16+'04'!C16</f>
        <v>109528329</v>
      </c>
      <c r="N16" s="402">
        <f t="shared" si="4"/>
        <v>0</v>
      </c>
      <c r="O16" s="402">
        <f>'07'!H11</f>
        <v>109528329</v>
      </c>
      <c r="P16" s="402">
        <f t="shared" si="5"/>
        <v>0</v>
      </c>
      <c r="Q16" s="390"/>
      <c r="R16" s="390"/>
    </row>
    <row r="17" spans="1:18" s="487" customFormat="1" ht="19.5" customHeight="1">
      <c r="A17" s="508" t="s">
        <v>51</v>
      </c>
      <c r="B17" s="430" t="s">
        <v>137</v>
      </c>
      <c r="C17" s="996">
        <f>C18+C19+C20+C21+C22+C23+C24+C25</f>
        <v>46472020</v>
      </c>
      <c r="D17" s="996">
        <f aca="true" t="shared" si="8" ref="D17:L17">D18+D19+D20+D21+D22+D23+D24+D25</f>
        <v>4824665</v>
      </c>
      <c r="E17" s="996">
        <f t="shared" si="8"/>
        <v>1707483</v>
      </c>
      <c r="F17" s="996">
        <f t="shared" si="8"/>
        <v>800</v>
      </c>
      <c r="G17" s="996">
        <f t="shared" si="8"/>
        <v>1114629</v>
      </c>
      <c r="H17" s="996">
        <f t="shared" si="8"/>
        <v>211113</v>
      </c>
      <c r="I17" s="996">
        <f t="shared" si="8"/>
        <v>170945</v>
      </c>
      <c r="J17" s="996">
        <f t="shared" si="8"/>
        <v>1619695</v>
      </c>
      <c r="K17" s="996">
        <f t="shared" si="8"/>
        <v>3944243</v>
      </c>
      <c r="L17" s="996">
        <f t="shared" si="8"/>
        <v>37703112</v>
      </c>
      <c r="M17" s="402">
        <f>'03'!C17+'04'!C17</f>
        <v>46472020</v>
      </c>
      <c r="N17" s="402">
        <f t="shared" si="4"/>
        <v>0</v>
      </c>
      <c r="O17" s="402">
        <f>'07'!I11</f>
        <v>46472020</v>
      </c>
      <c r="P17" s="402">
        <f t="shared" si="5"/>
        <v>0</v>
      </c>
      <c r="Q17" s="390"/>
      <c r="R17" s="390"/>
    </row>
    <row r="18" spans="1:18" s="487" customFormat="1" ht="19.5" customHeight="1">
      <c r="A18" s="507" t="s">
        <v>53</v>
      </c>
      <c r="B18" s="429" t="s">
        <v>138</v>
      </c>
      <c r="C18" s="851">
        <f t="shared" si="1"/>
        <v>9706060</v>
      </c>
      <c r="D18" s="995">
        <f>SUM(E18:J18)</f>
        <v>3251454</v>
      </c>
      <c r="E18" s="809">
        <f>E57+E82+E106+E131+E156+E181+E206+E231</f>
        <v>954967</v>
      </c>
      <c r="F18" s="809">
        <f aca="true" t="shared" si="9" ref="F18:L18">F57+F82+F106+F131+F156+F181+F206+F231</f>
        <v>800</v>
      </c>
      <c r="G18" s="809">
        <f t="shared" si="9"/>
        <v>568464</v>
      </c>
      <c r="H18" s="809">
        <f t="shared" si="9"/>
        <v>210658</v>
      </c>
      <c r="I18" s="809">
        <f t="shared" si="9"/>
        <v>91942</v>
      </c>
      <c r="J18" s="809">
        <f t="shared" si="9"/>
        <v>1424623</v>
      </c>
      <c r="K18" s="809">
        <f t="shared" si="9"/>
        <v>2347000</v>
      </c>
      <c r="L18" s="809">
        <f t="shared" si="9"/>
        <v>4107606</v>
      </c>
      <c r="M18" s="406">
        <f>'03'!C18+'04'!C18</f>
        <v>9706060</v>
      </c>
      <c r="N18" s="406">
        <f t="shared" si="4"/>
        <v>0</v>
      </c>
      <c r="O18" s="406">
        <f>'07'!J11</f>
        <v>9706060</v>
      </c>
      <c r="P18" s="406">
        <f t="shared" si="5"/>
        <v>0</v>
      </c>
      <c r="Q18" s="390"/>
      <c r="R18" s="390"/>
    </row>
    <row r="19" spans="1:18" s="487" customFormat="1" ht="19.5" customHeight="1">
      <c r="A19" s="507" t="s">
        <v>54</v>
      </c>
      <c r="B19" s="429" t="s">
        <v>139</v>
      </c>
      <c r="C19" s="851">
        <f>SUM(D19,K19,L19)</f>
        <v>1847696</v>
      </c>
      <c r="D19" s="995">
        <f t="shared" si="2"/>
        <v>419793</v>
      </c>
      <c r="E19" s="809">
        <f aca="true" t="shared" si="10" ref="E19:L25">E58+E83+E107+E132+E157+E182+E207+E232</f>
        <v>27363</v>
      </c>
      <c r="F19" s="809">
        <f t="shared" si="10"/>
        <v>0</v>
      </c>
      <c r="G19" s="809">
        <f t="shared" si="10"/>
        <v>360177</v>
      </c>
      <c r="H19" s="809">
        <f t="shared" si="10"/>
        <v>0</v>
      </c>
      <c r="I19" s="809">
        <f t="shared" si="10"/>
        <v>15771</v>
      </c>
      <c r="J19" s="809">
        <f t="shared" si="10"/>
        <v>16482</v>
      </c>
      <c r="K19" s="809">
        <f t="shared" si="10"/>
        <v>677991</v>
      </c>
      <c r="L19" s="809">
        <f t="shared" si="10"/>
        <v>749912</v>
      </c>
      <c r="M19" s="406">
        <f>'03'!C19+'04'!C19</f>
        <v>1847696</v>
      </c>
      <c r="N19" s="406">
        <f t="shared" si="4"/>
        <v>0</v>
      </c>
      <c r="O19" s="406">
        <f>'07'!K11</f>
        <v>1847696</v>
      </c>
      <c r="P19" s="406">
        <f t="shared" si="5"/>
        <v>0</v>
      </c>
      <c r="Q19" s="390"/>
      <c r="R19" s="390"/>
    </row>
    <row r="20" spans="1:18" s="487" customFormat="1" ht="19.5" customHeight="1">
      <c r="A20" s="507" t="s">
        <v>140</v>
      </c>
      <c r="B20" s="429" t="s">
        <v>201</v>
      </c>
      <c r="C20" s="851">
        <f t="shared" si="1"/>
        <v>149915</v>
      </c>
      <c r="D20" s="995">
        <f t="shared" si="2"/>
        <v>149915</v>
      </c>
      <c r="E20" s="809">
        <f t="shared" si="10"/>
        <v>12959</v>
      </c>
      <c r="F20" s="809">
        <f t="shared" si="10"/>
        <v>0</v>
      </c>
      <c r="G20" s="809">
        <f t="shared" si="10"/>
        <v>73033</v>
      </c>
      <c r="H20" s="809">
        <f t="shared" si="10"/>
        <v>0</v>
      </c>
      <c r="I20" s="809">
        <f t="shared" si="10"/>
        <v>58252</v>
      </c>
      <c r="J20" s="809">
        <f t="shared" si="10"/>
        <v>5671</v>
      </c>
      <c r="K20" s="809">
        <f t="shared" si="10"/>
        <v>0</v>
      </c>
      <c r="L20" s="809">
        <f t="shared" si="10"/>
        <v>0</v>
      </c>
      <c r="M20" s="406">
        <f>'03'!C20</f>
        <v>149915</v>
      </c>
      <c r="N20" s="406">
        <f t="shared" si="4"/>
        <v>0</v>
      </c>
      <c r="O20" s="406">
        <f>'07'!L11</f>
        <v>149915</v>
      </c>
      <c r="P20" s="406">
        <f t="shared" si="5"/>
        <v>0</v>
      </c>
      <c r="Q20" s="390"/>
      <c r="R20" s="390"/>
    </row>
    <row r="21" spans="1:18" s="487" customFormat="1" ht="19.5" customHeight="1">
      <c r="A21" s="507" t="s">
        <v>142</v>
      </c>
      <c r="B21" s="429" t="s">
        <v>141</v>
      </c>
      <c r="C21" s="851">
        <f t="shared" si="1"/>
        <v>18196939</v>
      </c>
      <c r="D21" s="995">
        <f t="shared" si="2"/>
        <v>772533</v>
      </c>
      <c r="E21" s="809">
        <f t="shared" si="10"/>
        <v>482224</v>
      </c>
      <c r="F21" s="809">
        <f t="shared" si="10"/>
        <v>0</v>
      </c>
      <c r="G21" s="809">
        <f t="shared" si="10"/>
        <v>112955</v>
      </c>
      <c r="H21" s="809">
        <f t="shared" si="10"/>
        <v>455</v>
      </c>
      <c r="I21" s="809">
        <f t="shared" si="10"/>
        <v>4980</v>
      </c>
      <c r="J21" s="809">
        <f t="shared" si="10"/>
        <v>171919</v>
      </c>
      <c r="K21" s="809">
        <f t="shared" si="10"/>
        <v>919252</v>
      </c>
      <c r="L21" s="809">
        <f t="shared" si="10"/>
        <v>16505154</v>
      </c>
      <c r="M21" s="406">
        <f>'03'!C21+'04'!C20</f>
        <v>18196939</v>
      </c>
      <c r="N21" s="406">
        <f t="shared" si="4"/>
        <v>0</v>
      </c>
      <c r="O21" s="406">
        <f>'07'!M11</f>
        <v>18196939</v>
      </c>
      <c r="P21" s="406">
        <f t="shared" si="5"/>
        <v>0</v>
      </c>
      <c r="Q21" s="390"/>
      <c r="R21" s="390"/>
    </row>
    <row r="22" spans="1:18" s="487" customFormat="1" ht="19.5" customHeight="1">
      <c r="A22" s="507" t="s">
        <v>144</v>
      </c>
      <c r="B22" s="429" t="s">
        <v>143</v>
      </c>
      <c r="C22" s="851">
        <f>D22+K22+L22</f>
        <v>16252265</v>
      </c>
      <c r="D22" s="995">
        <f>E22+F22+G22+H22+I22+J22</f>
        <v>224181</v>
      </c>
      <c r="E22" s="809">
        <f t="shared" si="10"/>
        <v>224181</v>
      </c>
      <c r="F22" s="809">
        <f t="shared" si="10"/>
        <v>0</v>
      </c>
      <c r="G22" s="809">
        <f t="shared" si="10"/>
        <v>0</v>
      </c>
      <c r="H22" s="809">
        <f t="shared" si="10"/>
        <v>0</v>
      </c>
      <c r="I22" s="809">
        <f t="shared" si="10"/>
        <v>0</v>
      </c>
      <c r="J22" s="809">
        <f t="shared" si="10"/>
        <v>0</v>
      </c>
      <c r="K22" s="809">
        <f t="shared" si="10"/>
        <v>0</v>
      </c>
      <c r="L22" s="809">
        <f t="shared" si="10"/>
        <v>16028084</v>
      </c>
      <c r="M22" s="406">
        <f>'03'!C22+'04'!C21</f>
        <v>16252265</v>
      </c>
      <c r="N22" s="406">
        <f t="shared" si="4"/>
        <v>0</v>
      </c>
      <c r="O22" s="406">
        <f>'07'!N11</f>
        <v>16252265</v>
      </c>
      <c r="P22" s="406">
        <f t="shared" si="5"/>
        <v>0</v>
      </c>
      <c r="Q22" s="390"/>
      <c r="R22" s="390"/>
    </row>
    <row r="23" spans="1:18" s="487" customFormat="1" ht="19.5" customHeight="1">
      <c r="A23" s="507" t="s">
        <v>146</v>
      </c>
      <c r="B23" s="429" t="s">
        <v>145</v>
      </c>
      <c r="C23" s="851">
        <f t="shared" si="1"/>
        <v>0</v>
      </c>
      <c r="D23" s="851">
        <f t="shared" si="2"/>
        <v>0</v>
      </c>
      <c r="E23" s="809">
        <f t="shared" si="10"/>
        <v>0</v>
      </c>
      <c r="F23" s="809">
        <f t="shared" si="10"/>
        <v>0</v>
      </c>
      <c r="G23" s="809">
        <f t="shared" si="10"/>
        <v>0</v>
      </c>
      <c r="H23" s="809">
        <f t="shared" si="10"/>
        <v>0</v>
      </c>
      <c r="I23" s="809">
        <f t="shared" si="10"/>
        <v>0</v>
      </c>
      <c r="J23" s="809">
        <f t="shared" si="10"/>
        <v>0</v>
      </c>
      <c r="K23" s="809">
        <f t="shared" si="10"/>
        <v>0</v>
      </c>
      <c r="L23" s="809">
        <f t="shared" si="10"/>
        <v>0</v>
      </c>
      <c r="M23" s="406">
        <f>'03'!C23+'04'!C22</f>
        <v>0</v>
      </c>
      <c r="N23" s="406">
        <f t="shared" si="4"/>
        <v>0</v>
      </c>
      <c r="O23" s="406">
        <f>'07'!O11</f>
        <v>0</v>
      </c>
      <c r="P23" s="406">
        <f t="shared" si="5"/>
        <v>0</v>
      </c>
      <c r="Q23" s="390"/>
      <c r="R23" s="390"/>
    </row>
    <row r="24" spans="1:18" s="487" customFormat="1" ht="28.5" customHeight="1">
      <c r="A24" s="507" t="s">
        <v>148</v>
      </c>
      <c r="B24" s="431" t="s">
        <v>147</v>
      </c>
      <c r="C24" s="851">
        <f t="shared" si="1"/>
        <v>0</v>
      </c>
      <c r="D24" s="851">
        <f t="shared" si="2"/>
        <v>0</v>
      </c>
      <c r="E24" s="809">
        <f t="shared" si="10"/>
        <v>0</v>
      </c>
      <c r="F24" s="809">
        <f t="shared" si="10"/>
        <v>0</v>
      </c>
      <c r="G24" s="809">
        <f t="shared" si="10"/>
        <v>0</v>
      </c>
      <c r="H24" s="809">
        <f t="shared" si="10"/>
        <v>0</v>
      </c>
      <c r="I24" s="809">
        <f t="shared" si="10"/>
        <v>0</v>
      </c>
      <c r="J24" s="809">
        <f t="shared" si="10"/>
        <v>0</v>
      </c>
      <c r="K24" s="809">
        <f t="shared" si="10"/>
        <v>0</v>
      </c>
      <c r="L24" s="809">
        <f t="shared" si="10"/>
        <v>0</v>
      </c>
      <c r="M24" s="406">
        <f>'03'!C24+'04'!C23</f>
        <v>0</v>
      </c>
      <c r="N24" s="406">
        <f t="shared" si="4"/>
        <v>0</v>
      </c>
      <c r="O24" s="406">
        <f>'07'!P11</f>
        <v>0</v>
      </c>
      <c r="P24" s="406">
        <f t="shared" si="5"/>
        <v>0</v>
      </c>
      <c r="Q24" s="390"/>
      <c r="R24" s="390"/>
    </row>
    <row r="25" spans="1:18" s="487" customFormat="1" ht="18" customHeight="1">
      <c r="A25" s="507" t="s">
        <v>185</v>
      </c>
      <c r="B25" s="429" t="s">
        <v>149</v>
      </c>
      <c r="C25" s="851">
        <f t="shared" si="1"/>
        <v>319145</v>
      </c>
      <c r="D25" s="993">
        <f t="shared" si="2"/>
        <v>6789</v>
      </c>
      <c r="E25" s="809">
        <f t="shared" si="10"/>
        <v>5789</v>
      </c>
      <c r="F25" s="809">
        <f t="shared" si="10"/>
        <v>0</v>
      </c>
      <c r="G25" s="809">
        <f t="shared" si="10"/>
        <v>0</v>
      </c>
      <c r="H25" s="809">
        <f t="shared" si="10"/>
        <v>0</v>
      </c>
      <c r="I25" s="809">
        <f t="shared" si="10"/>
        <v>0</v>
      </c>
      <c r="J25" s="809">
        <f t="shared" si="10"/>
        <v>1000</v>
      </c>
      <c r="K25" s="809">
        <f t="shared" si="10"/>
        <v>0</v>
      </c>
      <c r="L25" s="809">
        <f t="shared" si="10"/>
        <v>312356</v>
      </c>
      <c r="M25" s="406">
        <f>'03'!C25+'04'!C24</f>
        <v>319145</v>
      </c>
      <c r="N25" s="406">
        <f t="shared" si="4"/>
        <v>0</v>
      </c>
      <c r="O25" s="406">
        <f>'07'!Q11</f>
        <v>319145</v>
      </c>
      <c r="P25" s="406">
        <f t="shared" si="5"/>
        <v>0</v>
      </c>
      <c r="Q25" s="390"/>
      <c r="R25" s="390"/>
    </row>
    <row r="26" spans="1:18" s="487" customFormat="1" ht="20.25" customHeight="1">
      <c r="A26" s="508" t="s">
        <v>52</v>
      </c>
      <c r="B26" s="394" t="s">
        <v>150</v>
      </c>
      <c r="C26" s="996">
        <f>C11-C14-C17</f>
        <v>63056309</v>
      </c>
      <c r="D26" s="996">
        <f>SUM(E26:J26)</f>
        <v>9434266</v>
      </c>
      <c r="E26" s="996">
        <f>E16-E17</f>
        <v>2427323</v>
      </c>
      <c r="F26" s="996">
        <f aca="true" t="shared" si="11" ref="F26:K26">F16-F17</f>
        <v>0</v>
      </c>
      <c r="G26" s="996">
        <f t="shared" si="11"/>
        <v>1918854</v>
      </c>
      <c r="H26" s="996">
        <f t="shared" si="11"/>
        <v>34728</v>
      </c>
      <c r="I26" s="996">
        <f t="shared" si="11"/>
        <v>1634507</v>
      </c>
      <c r="J26" s="996">
        <f t="shared" si="11"/>
        <v>3418854</v>
      </c>
      <c r="K26" s="996">
        <f t="shared" si="11"/>
        <v>1181579</v>
      </c>
      <c r="L26" s="996">
        <f>L16-L17</f>
        <v>52440464</v>
      </c>
      <c r="M26" s="402">
        <f>'03'!C26+'04'!C25</f>
        <v>63056309</v>
      </c>
      <c r="N26" s="402">
        <f t="shared" si="4"/>
        <v>0</v>
      </c>
      <c r="O26" s="402">
        <f>'07'!R11</f>
        <v>63056309</v>
      </c>
      <c r="P26" s="402">
        <f t="shared" si="5"/>
        <v>0</v>
      </c>
      <c r="Q26" s="390"/>
      <c r="R26" s="390"/>
    </row>
    <row r="27" spans="1:18" s="487" customFormat="1" ht="27.75" customHeight="1">
      <c r="A27" s="534" t="s">
        <v>538</v>
      </c>
      <c r="B27" s="488" t="s">
        <v>213</v>
      </c>
      <c r="C27" s="992">
        <f>(C18+C19+C20)/C17</f>
        <v>0.2518433887745788</v>
      </c>
      <c r="D27" s="992">
        <f aca="true" t="shared" si="12" ref="D27:L27">(D18+D19+D20)/D17</f>
        <v>0.7920056625693183</v>
      </c>
      <c r="E27" s="992">
        <f t="shared" si="12"/>
        <v>0.5828983363231142</v>
      </c>
      <c r="F27" s="992">
        <f t="shared" si="12"/>
        <v>1</v>
      </c>
      <c r="G27" s="992">
        <f t="shared" si="12"/>
        <v>0.8986613483051311</v>
      </c>
      <c r="H27" s="992">
        <f t="shared" si="12"/>
        <v>0.9978447561258662</v>
      </c>
      <c r="I27" s="992">
        <f t="shared" si="12"/>
        <v>0.9708678229840007</v>
      </c>
      <c r="J27" s="992">
        <f t="shared" si="12"/>
        <v>0.8932397766246114</v>
      </c>
      <c r="K27" s="992">
        <f t="shared" si="12"/>
        <v>0.7669382946233282</v>
      </c>
      <c r="L27" s="992">
        <f t="shared" si="12"/>
        <v>0.12883599634958515</v>
      </c>
      <c r="M27" s="424"/>
      <c r="N27" s="489"/>
      <c r="O27" s="489"/>
      <c r="P27" s="489"/>
      <c r="Q27" s="390"/>
      <c r="R27" s="390"/>
    </row>
    <row r="28" spans="1:18" s="467" customFormat="1" ht="18" customHeight="1">
      <c r="A28" s="475"/>
      <c r="B28" s="490"/>
      <c r="C28" s="490"/>
      <c r="D28" s="465"/>
      <c r="E28" s="465"/>
      <c r="F28" s="465"/>
      <c r="G28" s="544"/>
      <c r="H28" s="544"/>
      <c r="I28" s="1662" t="str">
        <f>'Thong tin'!B8</f>
        <v>Tuyên Quang, ngày 05 tháng 04 năm 2018</v>
      </c>
      <c r="J28" s="1662"/>
      <c r="K28" s="1662"/>
      <c r="L28" s="1662"/>
      <c r="M28" s="478"/>
      <c r="N28" s="478"/>
      <c r="O28" s="478"/>
      <c r="P28" s="478"/>
      <c r="Q28" s="478"/>
      <c r="R28" s="478"/>
    </row>
    <row r="29" spans="1:18" s="467" customFormat="1" ht="21" customHeight="1">
      <c r="A29" s="1614" t="s">
        <v>4</v>
      </c>
      <c r="B29" s="1614"/>
      <c r="C29" s="1614"/>
      <c r="D29" s="1614"/>
      <c r="E29" s="536"/>
      <c r="F29" s="536"/>
      <c r="G29" s="545"/>
      <c r="H29" s="1666" t="str">
        <f>'Thong tin'!B7</f>
        <v>CỤC TRƯỞNG</v>
      </c>
      <c r="I29" s="1666"/>
      <c r="J29" s="1666"/>
      <c r="K29" s="1666"/>
      <c r="L29" s="1666"/>
      <c r="M29" s="478"/>
      <c r="N29" s="478"/>
      <c r="O29" s="478"/>
      <c r="P29" s="478"/>
      <c r="Q29" s="478"/>
      <c r="R29" s="478"/>
    </row>
    <row r="30" spans="1:18" s="467" customFormat="1" ht="15.75" customHeight="1">
      <c r="A30" s="528"/>
      <c r="B30" s="1664"/>
      <c r="C30" s="1664"/>
      <c r="D30" s="547"/>
      <c r="E30" s="547"/>
      <c r="F30" s="536"/>
      <c r="G30" s="1665"/>
      <c r="H30" s="1665"/>
      <c r="I30" s="1665"/>
      <c r="J30" s="1665"/>
      <c r="K30" s="1665"/>
      <c r="L30" s="1665"/>
      <c r="M30" s="491"/>
      <c r="N30" s="491"/>
      <c r="O30" s="491"/>
      <c r="P30" s="491"/>
      <c r="Q30" s="478"/>
      <c r="R30" s="478"/>
    </row>
    <row r="31" spans="1:18" s="467" customFormat="1" ht="18.75" customHeight="1">
      <c r="A31" s="528"/>
      <c r="B31" s="539"/>
      <c r="C31" s="531"/>
      <c r="D31" s="536"/>
      <c r="E31" s="536"/>
      <c r="F31" s="536"/>
      <c r="G31" s="548"/>
      <c r="H31" s="548"/>
      <c r="I31" s="548"/>
      <c r="J31" s="548"/>
      <c r="K31" s="548"/>
      <c r="L31" s="548"/>
      <c r="M31" s="478"/>
      <c r="N31" s="478"/>
      <c r="O31" s="478"/>
      <c r="P31" s="478"/>
      <c r="Q31" s="478"/>
      <c r="R31" s="478"/>
    </row>
    <row r="32" spans="1:18" s="435" customFormat="1" ht="18" customHeight="1">
      <c r="A32" s="549"/>
      <c r="B32" s="1652"/>
      <c r="C32" s="1652"/>
      <c r="D32" s="530"/>
      <c r="E32" s="530"/>
      <c r="F32" s="530"/>
      <c r="G32" s="530"/>
      <c r="H32" s="530"/>
      <c r="I32" s="530"/>
      <c r="J32" s="530"/>
      <c r="K32" s="530"/>
      <c r="L32" s="530"/>
      <c r="M32" s="448"/>
      <c r="N32" s="434"/>
      <c r="O32" s="434"/>
      <c r="P32" s="434"/>
      <c r="Q32" s="434"/>
      <c r="R32" s="434"/>
    </row>
    <row r="33" spans="1:18" s="435" customFormat="1" ht="15">
      <c r="A33" s="550"/>
      <c r="B33" s="550"/>
      <c r="C33" s="550"/>
      <c r="D33" s="550"/>
      <c r="E33" s="550"/>
      <c r="F33" s="550"/>
      <c r="G33" s="550"/>
      <c r="H33" s="550"/>
      <c r="I33" s="550"/>
      <c r="J33" s="550"/>
      <c r="K33" s="550"/>
      <c r="L33" s="550"/>
      <c r="M33" s="434"/>
      <c r="N33" s="434"/>
      <c r="O33" s="434"/>
      <c r="P33" s="434"/>
      <c r="Q33" s="434"/>
      <c r="R33" s="434"/>
    </row>
    <row r="34" spans="1:18" s="435" customFormat="1" ht="15">
      <c r="A34" s="550"/>
      <c r="B34" s="550"/>
      <c r="C34" s="550"/>
      <c r="D34" s="550"/>
      <c r="E34" s="550"/>
      <c r="F34" s="550"/>
      <c r="G34" s="550"/>
      <c r="H34" s="550"/>
      <c r="I34" s="550"/>
      <c r="J34" s="550"/>
      <c r="K34" s="550"/>
      <c r="L34" s="550"/>
      <c r="M34" s="434"/>
      <c r="N34" s="434"/>
      <c r="O34" s="434"/>
      <c r="P34" s="434"/>
      <c r="Q34" s="434"/>
      <c r="R34" s="434"/>
    </row>
    <row r="35" spans="1:12" ht="15" hidden="1">
      <c r="A35" s="550"/>
      <c r="B35" s="550"/>
      <c r="C35" s="550"/>
      <c r="D35" s="550"/>
      <c r="E35" s="550"/>
      <c r="F35" s="550"/>
      <c r="G35" s="550"/>
      <c r="H35" s="550"/>
      <c r="I35" s="550"/>
      <c r="J35" s="550"/>
      <c r="K35" s="550"/>
      <c r="L35" s="550"/>
    </row>
    <row r="36" spans="1:12" ht="15">
      <c r="A36" s="550"/>
      <c r="B36" s="550"/>
      <c r="C36" s="550"/>
      <c r="D36" s="550"/>
      <c r="E36" s="550"/>
      <c r="F36" s="550"/>
      <c r="G36" s="550"/>
      <c r="H36" s="550"/>
      <c r="I36" s="550"/>
      <c r="J36" s="550"/>
      <c r="K36" s="550"/>
      <c r="L36" s="550"/>
    </row>
    <row r="37" spans="1:12" ht="18.75">
      <c r="A37" s="1614" t="str">
        <f>'Thong tin'!B5</f>
        <v>Duy Thị Thúy</v>
      </c>
      <c r="B37" s="1614"/>
      <c r="C37" s="1614"/>
      <c r="D37" s="1614"/>
      <c r="E37" s="550"/>
      <c r="F37" s="550"/>
      <c r="G37" s="550"/>
      <c r="H37" s="1614" t="str">
        <f>'Thong tin'!B6</f>
        <v>Nguyễn Tuyên </v>
      </c>
      <c r="I37" s="1614"/>
      <c r="J37" s="1614"/>
      <c r="K37" s="1614"/>
      <c r="L37" s="1614"/>
    </row>
    <row r="38" ht="14.25" customHeight="1"/>
    <row r="39" ht="0.75" customHeight="1" hidden="1"/>
    <row r="40" ht="27" customHeight="1" hidden="1"/>
    <row r="41" ht="23.25" customHeight="1" hidden="1"/>
    <row r="42" ht="17.25" customHeight="1" hidden="1"/>
    <row r="43" ht="15" hidden="1">
      <c r="B43" s="866" t="s">
        <v>741</v>
      </c>
    </row>
    <row r="44" ht="15" hidden="1"/>
    <row r="45" spans="1:12" ht="15" hidden="1">
      <c r="A45" s="1282" t="s">
        <v>70</v>
      </c>
      <c r="B45" s="1283"/>
      <c r="C45" s="1651" t="s">
        <v>37</v>
      </c>
      <c r="D45" s="1634" t="s">
        <v>337</v>
      </c>
      <c r="E45" s="1634"/>
      <c r="F45" s="1634"/>
      <c r="G45" s="1634"/>
      <c r="H45" s="1634"/>
      <c r="I45" s="1634"/>
      <c r="J45" s="1634"/>
      <c r="K45" s="1634"/>
      <c r="L45" s="1634"/>
    </row>
    <row r="46" spans="1:12" ht="15" hidden="1">
      <c r="A46" s="1284"/>
      <c r="B46" s="1285"/>
      <c r="C46" s="1651"/>
      <c r="D46" s="1635" t="s">
        <v>205</v>
      </c>
      <c r="E46" s="1636"/>
      <c r="F46" s="1636"/>
      <c r="G46" s="1636"/>
      <c r="H46" s="1636"/>
      <c r="I46" s="1636"/>
      <c r="J46" s="1637"/>
      <c r="K46" s="1638" t="s">
        <v>206</v>
      </c>
      <c r="L46" s="1638" t="s">
        <v>207</v>
      </c>
    </row>
    <row r="47" spans="1:12" ht="15" hidden="1">
      <c r="A47" s="1284"/>
      <c r="B47" s="1285"/>
      <c r="C47" s="1651"/>
      <c r="D47" s="1643" t="s">
        <v>36</v>
      </c>
      <c r="E47" s="1644" t="s">
        <v>7</v>
      </c>
      <c r="F47" s="1645"/>
      <c r="G47" s="1645"/>
      <c r="H47" s="1645"/>
      <c r="I47" s="1645"/>
      <c r="J47" s="1646"/>
      <c r="K47" s="1639"/>
      <c r="L47" s="1641"/>
    </row>
    <row r="48" spans="1:12" ht="15" hidden="1">
      <c r="A48" s="1649"/>
      <c r="B48" s="1650"/>
      <c r="C48" s="1651"/>
      <c r="D48" s="1643"/>
      <c r="E48" s="551" t="s">
        <v>208</v>
      </c>
      <c r="F48" s="551" t="s">
        <v>209</v>
      </c>
      <c r="G48" s="551" t="s">
        <v>210</v>
      </c>
      <c r="H48" s="551" t="s">
        <v>211</v>
      </c>
      <c r="I48" s="551" t="s">
        <v>344</v>
      </c>
      <c r="J48" s="551" t="s">
        <v>212</v>
      </c>
      <c r="K48" s="1640"/>
      <c r="L48" s="1642"/>
    </row>
    <row r="49" spans="1:12" ht="15" hidden="1">
      <c r="A49" s="1647" t="s">
        <v>6</v>
      </c>
      <c r="B49" s="1648"/>
      <c r="C49" s="481">
        <v>1</v>
      </c>
      <c r="D49" s="482">
        <v>2</v>
      </c>
      <c r="E49" s="481">
        <v>3</v>
      </c>
      <c r="F49" s="482">
        <v>4</v>
      </c>
      <c r="G49" s="481">
        <v>5</v>
      </c>
      <c r="H49" s="482">
        <v>6</v>
      </c>
      <c r="I49" s="481">
        <v>7</v>
      </c>
      <c r="J49" s="482">
        <v>8</v>
      </c>
      <c r="K49" s="481">
        <v>9</v>
      </c>
      <c r="L49" s="482">
        <v>10</v>
      </c>
    </row>
    <row r="50" spans="1:12" ht="2.25" customHeight="1" hidden="1">
      <c r="A50" s="506" t="s">
        <v>0</v>
      </c>
      <c r="B50" s="427" t="s">
        <v>130</v>
      </c>
      <c r="C50" s="852">
        <f>D50+K50+L50</f>
        <v>14133012</v>
      </c>
      <c r="D50" s="852">
        <f>E50+F50+G50+H50+I50+J50</f>
        <v>5173703</v>
      </c>
      <c r="E50" s="852">
        <f aca="true" t="shared" si="13" ref="E50:L50">E51+E52</f>
        <v>819698</v>
      </c>
      <c r="F50" s="852">
        <f t="shared" si="13"/>
        <v>300</v>
      </c>
      <c r="G50" s="852">
        <f t="shared" si="13"/>
        <v>209973</v>
      </c>
      <c r="H50" s="852">
        <f t="shared" si="13"/>
        <v>32000</v>
      </c>
      <c r="I50" s="852">
        <f t="shared" si="13"/>
        <v>1208320</v>
      </c>
      <c r="J50" s="852">
        <f t="shared" si="13"/>
        <v>2903412</v>
      </c>
      <c r="K50" s="852">
        <f t="shared" si="13"/>
        <v>754590</v>
      </c>
      <c r="L50" s="852">
        <f t="shared" si="13"/>
        <v>8204719</v>
      </c>
    </row>
    <row r="51" spans="1:12" ht="15" hidden="1">
      <c r="A51" s="507">
        <v>1</v>
      </c>
      <c r="B51" s="429" t="s">
        <v>131</v>
      </c>
      <c r="C51" s="851">
        <f>SUM(D51,K51,L51)</f>
        <v>12147874</v>
      </c>
      <c r="D51" s="851">
        <f>SUM(E51:J51)</f>
        <v>4680777</v>
      </c>
      <c r="E51" s="808">
        <v>716803</v>
      </c>
      <c r="F51" s="808">
        <v>0</v>
      </c>
      <c r="G51" s="1210">
        <v>190710</v>
      </c>
      <c r="H51" s="808">
        <v>0</v>
      </c>
      <c r="I51" s="808">
        <v>1099655</v>
      </c>
      <c r="J51" s="808">
        <v>2673609</v>
      </c>
      <c r="K51" s="808">
        <v>754590</v>
      </c>
      <c r="L51" s="808">
        <v>6712507</v>
      </c>
    </row>
    <row r="52" spans="1:12" ht="15" hidden="1">
      <c r="A52" s="507">
        <v>2</v>
      </c>
      <c r="B52" s="429" t="s">
        <v>132</v>
      </c>
      <c r="C52" s="851">
        <f>SUM(D52,K52,L52)</f>
        <v>1985138</v>
      </c>
      <c r="D52" s="851">
        <f>SUM(E52:J52)</f>
        <v>492926</v>
      </c>
      <c r="E52" s="808">
        <v>102895</v>
      </c>
      <c r="F52" s="808">
        <v>300</v>
      </c>
      <c r="G52" s="808">
        <v>19263</v>
      </c>
      <c r="H52" s="808">
        <v>32000</v>
      </c>
      <c r="I52" s="808">
        <v>108665</v>
      </c>
      <c r="J52" s="808">
        <v>229803</v>
      </c>
      <c r="K52" s="808">
        <v>0</v>
      </c>
      <c r="L52" s="808">
        <v>1492212</v>
      </c>
    </row>
    <row r="53" spans="1:12" ht="18" customHeight="1" hidden="1">
      <c r="A53" s="508" t="s">
        <v>1</v>
      </c>
      <c r="B53" s="394" t="s">
        <v>133</v>
      </c>
      <c r="C53" s="851">
        <f>SUM(D53,K53,L53)</f>
        <v>13871</v>
      </c>
      <c r="D53" s="851">
        <f>SUM(E53:J53)</f>
        <v>13871</v>
      </c>
      <c r="E53" s="808">
        <v>13871</v>
      </c>
      <c r="F53" s="808">
        <v>0</v>
      </c>
      <c r="G53" s="808">
        <v>0</v>
      </c>
      <c r="H53" s="808">
        <v>0</v>
      </c>
      <c r="I53" s="808">
        <v>0</v>
      </c>
      <c r="J53" s="808">
        <v>0</v>
      </c>
      <c r="K53" s="808">
        <v>0</v>
      </c>
      <c r="L53" s="808">
        <v>0</v>
      </c>
    </row>
    <row r="54" spans="1:12" ht="18" customHeight="1" hidden="1">
      <c r="A54" s="508" t="s">
        <v>9</v>
      </c>
      <c r="B54" s="394" t="s">
        <v>134</v>
      </c>
      <c r="C54" s="851">
        <f>SUM(D54,K54,L54)</f>
        <v>0</v>
      </c>
      <c r="D54" s="851">
        <f>SUM(E54:J54)</f>
        <v>0</v>
      </c>
      <c r="E54" s="809"/>
      <c r="F54" s="809"/>
      <c r="G54" s="809"/>
      <c r="H54" s="809"/>
      <c r="I54" s="809"/>
      <c r="J54" s="809"/>
      <c r="K54" s="809"/>
      <c r="L54" s="809"/>
    </row>
    <row r="55" spans="1:12" ht="14.25" customHeight="1" hidden="1">
      <c r="A55" s="508" t="s">
        <v>135</v>
      </c>
      <c r="B55" s="394" t="s">
        <v>136</v>
      </c>
      <c r="C55" s="853">
        <f>SUM(D55,K55,L55)</f>
        <v>14119141</v>
      </c>
      <c r="D55" s="853">
        <f>SUM(E55:J55)</f>
        <v>5159832</v>
      </c>
      <c r="E55" s="854">
        <f aca="true" t="shared" si="14" ref="E55:L55">E50-SUM(E53,E54)</f>
        <v>805827</v>
      </c>
      <c r="F55" s="854">
        <f t="shared" si="14"/>
        <v>300</v>
      </c>
      <c r="G55" s="854">
        <f t="shared" si="14"/>
        <v>209973</v>
      </c>
      <c r="H55" s="855">
        <f t="shared" si="14"/>
        <v>32000</v>
      </c>
      <c r="I55" s="854">
        <f t="shared" si="14"/>
        <v>1208320</v>
      </c>
      <c r="J55" s="854">
        <f t="shared" si="14"/>
        <v>2903412</v>
      </c>
      <c r="K55" s="854">
        <f t="shared" si="14"/>
        <v>754590</v>
      </c>
      <c r="L55" s="854">
        <f t="shared" si="14"/>
        <v>8204719</v>
      </c>
    </row>
    <row r="56" spans="1:12" ht="15" hidden="1">
      <c r="A56" s="508" t="s">
        <v>51</v>
      </c>
      <c r="B56" s="430" t="s">
        <v>137</v>
      </c>
      <c r="C56" s="853">
        <f>C57+C58+C59+C60+C61+C62+C63+C64</f>
        <v>1667701</v>
      </c>
      <c r="D56" s="853">
        <f aca="true" t="shared" si="15" ref="D56:L56">D57+D58+D59+D60+D61+D62+D63+D64</f>
        <v>642457</v>
      </c>
      <c r="E56" s="853">
        <f t="shared" si="15"/>
        <v>82452</v>
      </c>
      <c r="F56" s="853">
        <f t="shared" si="15"/>
        <v>300</v>
      </c>
      <c r="G56" s="853">
        <f t="shared" si="15"/>
        <v>39257</v>
      </c>
      <c r="H56" s="853">
        <f t="shared" si="15"/>
        <v>32000</v>
      </c>
      <c r="I56" s="853">
        <f t="shared" si="15"/>
        <v>123374</v>
      </c>
      <c r="J56" s="853">
        <f t="shared" si="15"/>
        <v>365074</v>
      </c>
      <c r="K56" s="853">
        <f t="shared" si="15"/>
        <v>8369</v>
      </c>
      <c r="L56" s="853">
        <f t="shared" si="15"/>
        <v>1016875</v>
      </c>
    </row>
    <row r="57" spans="1:12" ht="15.75" customHeight="1" hidden="1">
      <c r="A57" s="507" t="s">
        <v>53</v>
      </c>
      <c r="B57" s="429" t="s">
        <v>138</v>
      </c>
      <c r="C57" s="858">
        <f>SUM(D57,K57,L57)</f>
        <v>475166</v>
      </c>
      <c r="D57" s="858">
        <f>SUM(E57:J57)</f>
        <v>401146</v>
      </c>
      <c r="E57" s="808">
        <v>65343</v>
      </c>
      <c r="F57" s="808">
        <v>300</v>
      </c>
      <c r="G57" s="808">
        <v>7500</v>
      </c>
      <c r="H57" s="808">
        <v>32000</v>
      </c>
      <c r="I57" s="808">
        <v>68400</v>
      </c>
      <c r="J57" s="808">
        <v>227603</v>
      </c>
      <c r="K57" s="808">
        <v>1000</v>
      </c>
      <c r="L57" s="808">
        <v>73020</v>
      </c>
    </row>
    <row r="58" spans="1:12" ht="9.75" customHeight="1" hidden="1">
      <c r="A58" s="507" t="s">
        <v>54</v>
      </c>
      <c r="B58" s="429" t="s">
        <v>139</v>
      </c>
      <c r="C58" s="851">
        <f>SUM(D58,K58,L58)</f>
        <v>21983</v>
      </c>
      <c r="D58" s="851">
        <f>SUM(E58:J58)</f>
        <v>14614</v>
      </c>
      <c r="E58" s="808">
        <v>0</v>
      </c>
      <c r="F58" s="808">
        <v>0</v>
      </c>
      <c r="G58" s="808">
        <v>9639</v>
      </c>
      <c r="H58" s="808">
        <v>0</v>
      </c>
      <c r="I58" s="808">
        <v>4975</v>
      </c>
      <c r="J58" s="808">
        <v>0</v>
      </c>
      <c r="K58" s="808">
        <v>7369</v>
      </c>
      <c r="L58" s="808">
        <v>0</v>
      </c>
    </row>
    <row r="59" spans="1:12" ht="9.75" customHeight="1" hidden="1">
      <c r="A59" s="507" t="s">
        <v>140</v>
      </c>
      <c r="B59" s="429" t="s">
        <v>201</v>
      </c>
      <c r="C59" s="851">
        <f>SUM(D59,K59,L59)</f>
        <v>81876</v>
      </c>
      <c r="D59" s="851">
        <f>SUM(E59:J59)</f>
        <v>81876</v>
      </c>
      <c r="E59" s="808">
        <v>12759</v>
      </c>
      <c r="F59" s="808">
        <v>0</v>
      </c>
      <c r="G59" s="808">
        <v>19118</v>
      </c>
      <c r="H59" s="808">
        <v>0</v>
      </c>
      <c r="I59" s="808">
        <v>49999</v>
      </c>
      <c r="J59" s="808">
        <v>0</v>
      </c>
      <c r="K59" s="808">
        <v>0</v>
      </c>
      <c r="L59" s="808">
        <v>0</v>
      </c>
    </row>
    <row r="60" spans="1:12" ht="15" hidden="1">
      <c r="A60" s="507" t="s">
        <v>142</v>
      </c>
      <c r="B60" s="429" t="s">
        <v>141</v>
      </c>
      <c r="C60" s="858">
        <f>SUM(D60,K60,L60)</f>
        <v>1088676</v>
      </c>
      <c r="D60" s="858">
        <f>SUM(E60:J60)</f>
        <v>144821</v>
      </c>
      <c r="E60" s="808">
        <v>4350</v>
      </c>
      <c r="F60" s="808">
        <v>0</v>
      </c>
      <c r="G60" s="808">
        <v>3000</v>
      </c>
      <c r="H60" s="808">
        <v>0</v>
      </c>
      <c r="I60" s="808">
        <v>0</v>
      </c>
      <c r="J60" s="808">
        <v>137471</v>
      </c>
      <c r="K60" s="808">
        <v>0</v>
      </c>
      <c r="L60" s="808">
        <v>943855</v>
      </c>
    </row>
    <row r="61" spans="1:12" ht="10.5" customHeight="1" hidden="1">
      <c r="A61" s="507" t="s">
        <v>144</v>
      </c>
      <c r="B61" s="429" t="s">
        <v>143</v>
      </c>
      <c r="C61" s="851">
        <f>D61+K61+L61</f>
        <v>0</v>
      </c>
      <c r="D61" s="851">
        <f>E61+F61+G61+H61+I61+J61</f>
        <v>0</v>
      </c>
      <c r="E61" s="808"/>
      <c r="F61" s="808"/>
      <c r="G61" s="808"/>
      <c r="H61" s="808"/>
      <c r="I61" s="808"/>
      <c r="J61" s="808"/>
      <c r="K61" s="808"/>
      <c r="L61" s="808"/>
    </row>
    <row r="62" spans="1:12" ht="13.5" customHeight="1" hidden="1">
      <c r="A62" s="507" t="s">
        <v>146</v>
      </c>
      <c r="B62" s="429" t="s">
        <v>145</v>
      </c>
      <c r="C62" s="851">
        <f>SUM(D62,K62,L62)</f>
        <v>0</v>
      </c>
      <c r="D62" s="851">
        <f>SUM(E62:J62)</f>
        <v>0</v>
      </c>
      <c r="E62" s="809"/>
      <c r="F62" s="809"/>
      <c r="G62" s="809"/>
      <c r="H62" s="809"/>
      <c r="I62" s="809"/>
      <c r="J62" s="809"/>
      <c r="K62" s="809"/>
      <c r="L62" s="809"/>
    </row>
    <row r="63" spans="1:12" ht="13.5" customHeight="1" hidden="1">
      <c r="A63" s="507" t="s">
        <v>148</v>
      </c>
      <c r="B63" s="431" t="s">
        <v>147</v>
      </c>
      <c r="C63" s="851">
        <f>SUM(D63,K63,L63)</f>
        <v>0</v>
      </c>
      <c r="D63" s="851">
        <f>SUM(E63:J63)</f>
        <v>0</v>
      </c>
      <c r="E63" s="809"/>
      <c r="F63" s="809"/>
      <c r="G63" s="809"/>
      <c r="H63" s="809"/>
      <c r="I63" s="809"/>
      <c r="J63" s="809"/>
      <c r="K63" s="809"/>
      <c r="L63" s="809"/>
    </row>
    <row r="64" spans="1:12" ht="15" hidden="1">
      <c r="A64" s="507" t="s">
        <v>185</v>
      </c>
      <c r="B64" s="429" t="s">
        <v>149</v>
      </c>
      <c r="C64" s="851">
        <f>SUM(D64,K64,L64)</f>
        <v>0</v>
      </c>
      <c r="D64" s="851">
        <f>SUM(E64:J64)</f>
        <v>0</v>
      </c>
      <c r="E64" s="810"/>
      <c r="F64" s="810"/>
      <c r="G64" s="810"/>
      <c r="H64" s="810"/>
      <c r="I64" s="810"/>
      <c r="J64" s="810"/>
      <c r="K64" s="810"/>
      <c r="L64" s="810"/>
    </row>
    <row r="65" spans="1:12" ht="15" hidden="1">
      <c r="A65" s="508" t="s">
        <v>52</v>
      </c>
      <c r="B65" s="394" t="s">
        <v>150</v>
      </c>
      <c r="C65" s="853">
        <f>C50-C53-C56</f>
        <v>12451440</v>
      </c>
      <c r="D65" s="853">
        <f>SUM(E65:J65)</f>
        <v>4517375</v>
      </c>
      <c r="E65" s="853">
        <f>E55-E56</f>
        <v>723375</v>
      </c>
      <c r="F65" s="853">
        <f aca="true" t="shared" si="16" ref="F65:K65">F55-F56</f>
        <v>0</v>
      </c>
      <c r="G65" s="853">
        <f t="shared" si="16"/>
        <v>170716</v>
      </c>
      <c r="H65" s="853">
        <f t="shared" si="16"/>
        <v>0</v>
      </c>
      <c r="I65" s="853">
        <f t="shared" si="16"/>
        <v>1084946</v>
      </c>
      <c r="J65" s="853">
        <f t="shared" si="16"/>
        <v>2538338</v>
      </c>
      <c r="K65" s="853">
        <f t="shared" si="16"/>
        <v>746221</v>
      </c>
      <c r="L65" s="853">
        <f>L55-L56</f>
        <v>7187844</v>
      </c>
    </row>
    <row r="66" spans="1:12" ht="25.5" hidden="1">
      <c r="A66" s="534" t="s">
        <v>538</v>
      </c>
      <c r="B66" s="488" t="s">
        <v>213</v>
      </c>
      <c r="C66" s="532">
        <f>(C57+C58+C59)/C56</f>
        <v>0.34719952797294</v>
      </c>
      <c r="D66" s="532">
        <f aca="true" t="shared" si="17" ref="D66:L66">(D57+D58+D59)/D56</f>
        <v>0.7745825790675485</v>
      </c>
      <c r="E66" s="533">
        <f t="shared" si="17"/>
        <v>0.9472420317275506</v>
      </c>
      <c r="F66" s="533">
        <f t="shared" si="17"/>
        <v>1</v>
      </c>
      <c r="G66" s="533">
        <f t="shared" si="17"/>
        <v>0.9235805079348905</v>
      </c>
      <c r="H66" s="533">
        <f t="shared" si="17"/>
        <v>1</v>
      </c>
      <c r="I66" s="533">
        <f t="shared" si="17"/>
        <v>1</v>
      </c>
      <c r="J66" s="533">
        <f t="shared" si="17"/>
        <v>0.6234434662561563</v>
      </c>
      <c r="K66" s="533">
        <f t="shared" si="17"/>
        <v>1</v>
      </c>
      <c r="L66" s="533">
        <f t="shared" si="17"/>
        <v>0.07180823601720959</v>
      </c>
    </row>
    <row r="67" ht="15" hidden="1"/>
    <row r="68" ht="15" hidden="1"/>
    <row r="69" ht="15" hidden="1">
      <c r="B69" s="477" t="s">
        <v>751</v>
      </c>
    </row>
    <row r="70" spans="1:12" ht="15" hidden="1">
      <c r="A70" s="1282" t="s">
        <v>70</v>
      </c>
      <c r="B70" s="1283"/>
      <c r="C70" s="1651" t="s">
        <v>37</v>
      </c>
      <c r="D70" s="1634" t="s">
        <v>337</v>
      </c>
      <c r="E70" s="1634"/>
      <c r="F70" s="1634"/>
      <c r="G70" s="1634"/>
      <c r="H70" s="1634"/>
      <c r="I70" s="1634"/>
      <c r="J70" s="1634"/>
      <c r="K70" s="1634"/>
      <c r="L70" s="1634"/>
    </row>
    <row r="71" spans="1:12" ht="23.25" customHeight="1" hidden="1">
      <c r="A71" s="1284"/>
      <c r="B71" s="1285"/>
      <c r="C71" s="1651"/>
      <c r="D71" s="1635" t="s">
        <v>205</v>
      </c>
      <c r="E71" s="1636"/>
      <c r="F71" s="1636"/>
      <c r="G71" s="1636"/>
      <c r="H71" s="1636"/>
      <c r="I71" s="1636"/>
      <c r="J71" s="1637"/>
      <c r="K71" s="1638" t="s">
        <v>206</v>
      </c>
      <c r="L71" s="1638" t="s">
        <v>207</v>
      </c>
    </row>
    <row r="72" spans="1:12" ht="15" hidden="1">
      <c r="A72" s="1284"/>
      <c r="B72" s="1285"/>
      <c r="C72" s="1651"/>
      <c r="D72" s="1643" t="s">
        <v>36</v>
      </c>
      <c r="E72" s="1644" t="s">
        <v>7</v>
      </c>
      <c r="F72" s="1645"/>
      <c r="G72" s="1645"/>
      <c r="H72" s="1645"/>
      <c r="I72" s="1645"/>
      <c r="J72" s="1646"/>
      <c r="K72" s="1639"/>
      <c r="L72" s="1641"/>
    </row>
    <row r="73" spans="1:12" ht="15" hidden="1">
      <c r="A73" s="1649"/>
      <c r="B73" s="1650"/>
      <c r="C73" s="1651"/>
      <c r="D73" s="1643"/>
      <c r="E73" s="551" t="s">
        <v>208</v>
      </c>
      <c r="F73" s="551" t="s">
        <v>209</v>
      </c>
      <c r="G73" s="551" t="s">
        <v>210</v>
      </c>
      <c r="H73" s="551" t="s">
        <v>211</v>
      </c>
      <c r="I73" s="551" t="s">
        <v>344</v>
      </c>
      <c r="J73" s="551" t="s">
        <v>212</v>
      </c>
      <c r="K73" s="1640"/>
      <c r="L73" s="1642"/>
    </row>
    <row r="74" spans="1:12" ht="15" hidden="1">
      <c r="A74" s="1647" t="s">
        <v>6</v>
      </c>
      <c r="B74" s="1648"/>
      <c r="C74" s="481">
        <v>1</v>
      </c>
      <c r="D74" s="482">
        <v>2</v>
      </c>
      <c r="E74" s="481">
        <v>3</v>
      </c>
      <c r="F74" s="482">
        <v>4</v>
      </c>
      <c r="G74" s="481">
        <v>5</v>
      </c>
      <c r="H74" s="482">
        <v>6</v>
      </c>
      <c r="I74" s="481">
        <v>7</v>
      </c>
      <c r="J74" s="482">
        <v>8</v>
      </c>
      <c r="K74" s="481">
        <v>9</v>
      </c>
      <c r="L74" s="482">
        <v>10</v>
      </c>
    </row>
    <row r="75" spans="1:12" ht="15" hidden="1">
      <c r="A75" s="506" t="s">
        <v>0</v>
      </c>
      <c r="B75" s="427" t="s">
        <v>130</v>
      </c>
      <c r="C75" s="852">
        <f>D75+K75+L75</f>
        <v>51170098</v>
      </c>
      <c r="D75" s="852">
        <f>E75+F75+G75+H75+I75+J75</f>
        <v>2665242</v>
      </c>
      <c r="E75" s="852">
        <f aca="true" t="shared" si="18" ref="E75:L75">E76+E77</f>
        <v>1658855</v>
      </c>
      <c r="F75" s="852">
        <f t="shared" si="18"/>
        <v>200</v>
      </c>
      <c r="G75" s="852">
        <f t="shared" si="18"/>
        <v>540917</v>
      </c>
      <c r="H75" s="852">
        <f t="shared" si="18"/>
        <v>27050</v>
      </c>
      <c r="I75" s="852">
        <f t="shared" si="18"/>
        <v>71135</v>
      </c>
      <c r="J75" s="852">
        <f t="shared" si="18"/>
        <v>367085</v>
      </c>
      <c r="K75" s="852">
        <f t="shared" si="18"/>
        <v>4160416</v>
      </c>
      <c r="L75" s="852">
        <f t="shared" si="18"/>
        <v>44344440</v>
      </c>
    </row>
    <row r="76" spans="1:12" ht="15" hidden="1">
      <c r="A76" s="507">
        <v>1</v>
      </c>
      <c r="B76" s="429" t="s">
        <v>131</v>
      </c>
      <c r="C76" s="851">
        <f>SUM(D76,K76,L76)</f>
        <v>41909503</v>
      </c>
      <c r="D76" s="851">
        <f>SUM(E76:J76)</f>
        <v>1541921</v>
      </c>
      <c r="E76" s="936">
        <v>1034998</v>
      </c>
      <c r="F76" s="936">
        <v>0</v>
      </c>
      <c r="G76" s="936">
        <v>437504</v>
      </c>
      <c r="H76" s="936">
        <v>0</v>
      </c>
      <c r="I76" s="936">
        <v>69419</v>
      </c>
      <c r="J76" s="936">
        <v>0</v>
      </c>
      <c r="K76" s="936">
        <v>389710</v>
      </c>
      <c r="L76" s="936">
        <v>39977872</v>
      </c>
    </row>
    <row r="77" spans="1:12" ht="15" customHeight="1" hidden="1">
      <c r="A77" s="507">
        <v>2</v>
      </c>
      <c r="B77" s="429" t="s">
        <v>132</v>
      </c>
      <c r="C77" s="851">
        <f>SUM(D77,K77,L77)</f>
        <v>9260595</v>
      </c>
      <c r="D77" s="851">
        <f>SUM(E77:J77)</f>
        <v>1123321</v>
      </c>
      <c r="E77" s="936">
        <v>623857</v>
      </c>
      <c r="F77" s="936">
        <v>200</v>
      </c>
      <c r="G77" s="936">
        <v>103413</v>
      </c>
      <c r="H77" s="936">
        <v>27050</v>
      </c>
      <c r="I77" s="936">
        <v>1716</v>
      </c>
      <c r="J77" s="936">
        <v>367085</v>
      </c>
      <c r="K77" s="936">
        <v>3770706</v>
      </c>
      <c r="L77" s="936">
        <v>4366568</v>
      </c>
    </row>
    <row r="78" spans="1:12" ht="15" hidden="1">
      <c r="A78" s="508" t="s">
        <v>1</v>
      </c>
      <c r="B78" s="394" t="s">
        <v>133</v>
      </c>
      <c r="C78" s="851">
        <f>SUM(D78,K78,L78)</f>
        <v>194257</v>
      </c>
      <c r="D78" s="851">
        <f>SUM(E78:J78)</f>
        <v>106757</v>
      </c>
      <c r="E78" s="936">
        <v>106757</v>
      </c>
      <c r="F78" s="936">
        <v>0</v>
      </c>
      <c r="G78" s="936">
        <v>0</v>
      </c>
      <c r="H78" s="936">
        <v>0</v>
      </c>
      <c r="I78" s="936">
        <v>0</v>
      </c>
      <c r="J78" s="936">
        <v>0</v>
      </c>
      <c r="K78" s="936">
        <v>0</v>
      </c>
      <c r="L78" s="936">
        <v>87500</v>
      </c>
    </row>
    <row r="79" spans="1:12" ht="15" hidden="1">
      <c r="A79" s="508" t="s">
        <v>9</v>
      </c>
      <c r="B79" s="394" t="s">
        <v>134</v>
      </c>
      <c r="C79" s="851">
        <f>SUM(D79,K79,L79)</f>
        <v>0</v>
      </c>
      <c r="D79" s="851">
        <f>SUM(E79:J79)</f>
        <v>0</v>
      </c>
      <c r="E79" s="811"/>
      <c r="F79" s="811"/>
      <c r="G79" s="811"/>
      <c r="H79" s="811"/>
      <c r="I79" s="811"/>
      <c r="J79" s="811"/>
      <c r="K79" s="811"/>
      <c r="L79" s="811"/>
    </row>
    <row r="80" spans="1:12" ht="15" hidden="1">
      <c r="A80" s="508" t="s">
        <v>135</v>
      </c>
      <c r="B80" s="394" t="s">
        <v>136</v>
      </c>
      <c r="C80" s="853">
        <f>SUM(D80,K80,L80)</f>
        <v>50975841</v>
      </c>
      <c r="D80" s="853">
        <f>SUM(E80:J80)</f>
        <v>2558485</v>
      </c>
      <c r="E80" s="854">
        <f aca="true" t="shared" si="19" ref="E80:L80">E75-SUM(E78,E79)</f>
        <v>1552098</v>
      </c>
      <c r="F80" s="854">
        <f t="shared" si="19"/>
        <v>200</v>
      </c>
      <c r="G80" s="854">
        <f t="shared" si="19"/>
        <v>540917</v>
      </c>
      <c r="H80" s="855">
        <f t="shared" si="19"/>
        <v>27050</v>
      </c>
      <c r="I80" s="854">
        <f t="shared" si="19"/>
        <v>71135</v>
      </c>
      <c r="J80" s="854">
        <f t="shared" si="19"/>
        <v>367085</v>
      </c>
      <c r="K80" s="854">
        <f t="shared" si="19"/>
        <v>4160416</v>
      </c>
      <c r="L80" s="854">
        <f t="shared" si="19"/>
        <v>44256940</v>
      </c>
    </row>
    <row r="81" spans="1:12" ht="16.5" customHeight="1" hidden="1">
      <c r="A81" s="508" t="s">
        <v>51</v>
      </c>
      <c r="B81" s="430" t="s">
        <v>137</v>
      </c>
      <c r="C81" s="853">
        <f>C82+C83+C84+C85+C86+C87+C88+C89</f>
        <v>27333589</v>
      </c>
      <c r="D81" s="853">
        <f aca="true" t="shared" si="20" ref="D81:L81">D82+D83+D84+D85+D86+D87+D88+D89</f>
        <v>1406775</v>
      </c>
      <c r="E81" s="853">
        <f t="shared" si="20"/>
        <v>880237</v>
      </c>
      <c r="F81" s="853">
        <f t="shared" si="20"/>
        <v>200</v>
      </c>
      <c r="G81" s="853">
        <f t="shared" si="20"/>
        <v>130487</v>
      </c>
      <c r="H81" s="853">
        <f t="shared" si="20"/>
        <v>27050</v>
      </c>
      <c r="I81" s="853">
        <f t="shared" si="20"/>
        <v>1716</v>
      </c>
      <c r="J81" s="853">
        <f t="shared" si="20"/>
        <v>367085</v>
      </c>
      <c r="K81" s="853">
        <f t="shared" si="20"/>
        <v>3932945</v>
      </c>
      <c r="L81" s="853">
        <f t="shared" si="20"/>
        <v>21993869</v>
      </c>
    </row>
    <row r="82" spans="1:12" ht="16.5" customHeight="1" hidden="1">
      <c r="A82" s="507" t="s">
        <v>53</v>
      </c>
      <c r="B82" s="429" t="s">
        <v>138</v>
      </c>
      <c r="C82" s="858">
        <f>SUM(D82,K82,L82)</f>
        <v>4555498</v>
      </c>
      <c r="D82" s="858">
        <f>SUM(E82:J82)</f>
        <v>855461</v>
      </c>
      <c r="E82" s="936">
        <v>393027</v>
      </c>
      <c r="F82" s="936">
        <v>200</v>
      </c>
      <c r="G82" s="936">
        <v>67718</v>
      </c>
      <c r="H82" s="936">
        <v>27050</v>
      </c>
      <c r="I82" s="936">
        <v>1716</v>
      </c>
      <c r="J82" s="936">
        <v>365750</v>
      </c>
      <c r="K82" s="936">
        <v>2346000</v>
      </c>
      <c r="L82" s="936">
        <v>1354037</v>
      </c>
    </row>
    <row r="83" spans="1:12" ht="15" hidden="1">
      <c r="A83" s="507" t="s">
        <v>54</v>
      </c>
      <c r="B83" s="429" t="s">
        <v>139</v>
      </c>
      <c r="C83" s="851">
        <f>SUM(D83,K83,L83)</f>
        <v>1220009</v>
      </c>
      <c r="D83" s="851">
        <f>SUM(E83:J83)</f>
        <v>3298</v>
      </c>
      <c r="E83" s="936">
        <v>3298</v>
      </c>
      <c r="F83" s="936">
        <v>0</v>
      </c>
      <c r="G83" s="936">
        <v>0</v>
      </c>
      <c r="H83" s="936">
        <v>0</v>
      </c>
      <c r="I83" s="936">
        <v>0</v>
      </c>
      <c r="J83" s="936">
        <v>0</v>
      </c>
      <c r="K83" s="936">
        <v>670622</v>
      </c>
      <c r="L83" s="936">
        <v>546089</v>
      </c>
    </row>
    <row r="84" spans="1:12" ht="15" hidden="1">
      <c r="A84" s="507" t="s">
        <v>140</v>
      </c>
      <c r="B84" s="429" t="s">
        <v>201</v>
      </c>
      <c r="C84" s="851">
        <f>SUM(D84,K84,L84)</f>
        <v>32404</v>
      </c>
      <c r="D84" s="851">
        <f>SUM(E84:J84)</f>
        <v>32404</v>
      </c>
      <c r="E84" s="936">
        <v>200</v>
      </c>
      <c r="F84" s="936">
        <v>0</v>
      </c>
      <c r="G84" s="936">
        <v>32204</v>
      </c>
      <c r="H84" s="936">
        <v>0</v>
      </c>
      <c r="I84" s="936">
        <v>0</v>
      </c>
      <c r="J84" s="936">
        <v>0</v>
      </c>
      <c r="K84" s="936">
        <v>0</v>
      </c>
      <c r="L84" s="936">
        <v>0</v>
      </c>
    </row>
    <row r="85" spans="1:12" ht="15" hidden="1">
      <c r="A85" s="507" t="s">
        <v>142</v>
      </c>
      <c r="B85" s="429" t="s">
        <v>141</v>
      </c>
      <c r="C85" s="858">
        <f>SUM(D85,K85,L85)</f>
        <v>6714692</v>
      </c>
      <c r="D85" s="858">
        <f>SUM(E85:J85)</f>
        <v>310524</v>
      </c>
      <c r="E85" s="936">
        <v>278624</v>
      </c>
      <c r="F85" s="936">
        <v>0</v>
      </c>
      <c r="G85" s="936">
        <v>30565</v>
      </c>
      <c r="H85" s="936">
        <v>0</v>
      </c>
      <c r="I85" s="936">
        <v>0</v>
      </c>
      <c r="J85" s="936">
        <v>1335</v>
      </c>
      <c r="K85" s="936">
        <v>916323</v>
      </c>
      <c r="L85" s="936">
        <v>5487845</v>
      </c>
    </row>
    <row r="86" spans="1:12" ht="13.5" customHeight="1" hidden="1">
      <c r="A86" s="507" t="s">
        <v>144</v>
      </c>
      <c r="B86" s="429" t="s">
        <v>143</v>
      </c>
      <c r="C86" s="851">
        <f>D86+K86+L86</f>
        <v>14691333</v>
      </c>
      <c r="D86" s="851">
        <f>E86+F86+G86+H86+I86+J86</f>
        <v>201975</v>
      </c>
      <c r="E86" s="936">
        <v>201975</v>
      </c>
      <c r="F86" s="936">
        <v>0</v>
      </c>
      <c r="G86" s="936">
        <v>0</v>
      </c>
      <c r="H86" s="936">
        <v>0</v>
      </c>
      <c r="I86" s="936">
        <v>0</v>
      </c>
      <c r="J86" s="936">
        <v>0</v>
      </c>
      <c r="K86" s="936">
        <v>0</v>
      </c>
      <c r="L86" s="936">
        <v>14489358</v>
      </c>
    </row>
    <row r="87" spans="1:12" ht="19.5" customHeight="1" hidden="1">
      <c r="A87" s="507" t="s">
        <v>146</v>
      </c>
      <c r="B87" s="429" t="s">
        <v>145</v>
      </c>
      <c r="C87" s="851">
        <f>SUM(D87,K87,L87)</f>
        <v>0</v>
      </c>
      <c r="D87" s="851">
        <f>SUM(E87:J87)</f>
        <v>0</v>
      </c>
      <c r="E87" s="936">
        <v>0</v>
      </c>
      <c r="F87" s="936">
        <v>0</v>
      </c>
      <c r="G87" s="936">
        <v>0</v>
      </c>
      <c r="H87" s="936">
        <v>0</v>
      </c>
      <c r="I87" s="936">
        <v>0</v>
      </c>
      <c r="J87" s="936">
        <v>0</v>
      </c>
      <c r="K87" s="936">
        <v>0</v>
      </c>
      <c r="L87" s="936">
        <v>0</v>
      </c>
    </row>
    <row r="88" spans="1:12" ht="27.75" customHeight="1" hidden="1">
      <c r="A88" s="507" t="s">
        <v>148</v>
      </c>
      <c r="B88" s="431" t="s">
        <v>147</v>
      </c>
      <c r="C88" s="851">
        <f>SUM(D88,K88,L88)</f>
        <v>0</v>
      </c>
      <c r="D88" s="851">
        <f>SUM(E88:J88)</f>
        <v>0</v>
      </c>
      <c r="E88" s="936">
        <v>0</v>
      </c>
      <c r="F88" s="936">
        <v>0</v>
      </c>
      <c r="G88" s="936">
        <v>0</v>
      </c>
      <c r="H88" s="936">
        <v>0</v>
      </c>
      <c r="I88" s="936">
        <v>0</v>
      </c>
      <c r="J88" s="936">
        <v>0</v>
      </c>
      <c r="K88" s="936">
        <v>0</v>
      </c>
      <c r="L88" s="936">
        <v>0</v>
      </c>
    </row>
    <row r="89" spans="1:12" ht="17.25" customHeight="1" hidden="1">
      <c r="A89" s="507" t="s">
        <v>185</v>
      </c>
      <c r="B89" s="429" t="s">
        <v>149</v>
      </c>
      <c r="C89" s="851">
        <f>SUM(D89,K89,L89)</f>
        <v>119653</v>
      </c>
      <c r="D89" s="851">
        <f>SUM(E89:J89)</f>
        <v>3113</v>
      </c>
      <c r="E89" s="936">
        <v>3113</v>
      </c>
      <c r="F89" s="936">
        <v>0</v>
      </c>
      <c r="G89" s="936">
        <v>0</v>
      </c>
      <c r="H89" s="936">
        <v>0</v>
      </c>
      <c r="I89" s="936">
        <v>0</v>
      </c>
      <c r="J89" s="936">
        <v>0</v>
      </c>
      <c r="K89" s="936">
        <v>0</v>
      </c>
      <c r="L89" s="936">
        <v>116540</v>
      </c>
    </row>
    <row r="90" spans="1:12" ht="15" hidden="1">
      <c r="A90" s="508" t="s">
        <v>52</v>
      </c>
      <c r="B90" s="394" t="s">
        <v>150</v>
      </c>
      <c r="C90" s="853">
        <f>C75-C78-C81</f>
        <v>23642252</v>
      </c>
      <c r="D90" s="853">
        <f>SUM(E90:J90)</f>
        <v>1151710</v>
      </c>
      <c r="E90" s="853">
        <f>E80-E81</f>
        <v>671861</v>
      </c>
      <c r="F90" s="853">
        <f aca="true" t="shared" si="21" ref="F90:K90">F80-F81</f>
        <v>0</v>
      </c>
      <c r="G90" s="853">
        <f t="shared" si="21"/>
        <v>410430</v>
      </c>
      <c r="H90" s="853">
        <f t="shared" si="21"/>
        <v>0</v>
      </c>
      <c r="I90" s="853">
        <f t="shared" si="21"/>
        <v>69419</v>
      </c>
      <c r="J90" s="853">
        <f t="shared" si="21"/>
        <v>0</v>
      </c>
      <c r="K90" s="853">
        <f t="shared" si="21"/>
        <v>227471</v>
      </c>
      <c r="L90" s="853">
        <f>L80-L81</f>
        <v>22263071</v>
      </c>
    </row>
    <row r="91" spans="1:12" ht="25.5" hidden="1">
      <c r="A91" s="534" t="s">
        <v>538</v>
      </c>
      <c r="B91" s="488" t="s">
        <v>213</v>
      </c>
      <c r="C91" s="532">
        <f>(C82+C83+C84)/C81</f>
        <v>0.2124825612911645</v>
      </c>
      <c r="D91" s="532">
        <f aca="true" t="shared" si="22" ref="D91:L91">(D82+D83+D84)/D81</f>
        <v>0.6334794121305823</v>
      </c>
      <c r="E91" s="533">
        <f t="shared" si="22"/>
        <v>0.45047526972849355</v>
      </c>
      <c r="F91" s="533">
        <f t="shared" si="22"/>
        <v>1</v>
      </c>
      <c r="G91" s="533">
        <f t="shared" si="22"/>
        <v>0.7657621065700031</v>
      </c>
      <c r="H91" s="533">
        <f t="shared" si="22"/>
        <v>1</v>
      </c>
      <c r="I91" s="533">
        <f t="shared" si="22"/>
        <v>1</v>
      </c>
      <c r="J91" s="533">
        <f t="shared" si="22"/>
        <v>0.9963632401214978</v>
      </c>
      <c r="K91" s="533">
        <f t="shared" si="22"/>
        <v>0.7670135229452738</v>
      </c>
      <c r="L91" s="533">
        <f t="shared" si="22"/>
        <v>0.08639343991727877</v>
      </c>
    </row>
    <row r="92" ht="15" hidden="1"/>
    <row r="93" ht="15" hidden="1">
      <c r="B93" s="477" t="s">
        <v>752</v>
      </c>
    </row>
    <row r="94" spans="1:12" ht="15" customHeight="1" hidden="1">
      <c r="A94" s="1282" t="s">
        <v>70</v>
      </c>
      <c r="B94" s="1283"/>
      <c r="C94" s="1651" t="s">
        <v>37</v>
      </c>
      <c r="D94" s="1634" t="s">
        <v>337</v>
      </c>
      <c r="E94" s="1634"/>
      <c r="F94" s="1634"/>
      <c r="G94" s="1634"/>
      <c r="H94" s="1634"/>
      <c r="I94" s="1634"/>
      <c r="J94" s="1634"/>
      <c r="K94" s="1634"/>
      <c r="L94" s="1634"/>
    </row>
    <row r="95" spans="1:12" ht="15" customHeight="1" hidden="1">
      <c r="A95" s="1284"/>
      <c r="B95" s="1285"/>
      <c r="C95" s="1651"/>
      <c r="D95" s="1635" t="s">
        <v>205</v>
      </c>
      <c r="E95" s="1636"/>
      <c r="F95" s="1636"/>
      <c r="G95" s="1636"/>
      <c r="H95" s="1636"/>
      <c r="I95" s="1636"/>
      <c r="J95" s="1637"/>
      <c r="K95" s="1638" t="s">
        <v>206</v>
      </c>
      <c r="L95" s="1638" t="s">
        <v>207</v>
      </c>
    </row>
    <row r="96" spans="1:12" ht="15" customHeight="1" hidden="1">
      <c r="A96" s="1284"/>
      <c r="B96" s="1285"/>
      <c r="C96" s="1651"/>
      <c r="D96" s="1643" t="s">
        <v>36</v>
      </c>
      <c r="E96" s="1644" t="s">
        <v>7</v>
      </c>
      <c r="F96" s="1645"/>
      <c r="G96" s="1645"/>
      <c r="H96" s="1645"/>
      <c r="I96" s="1645"/>
      <c r="J96" s="1646"/>
      <c r="K96" s="1639"/>
      <c r="L96" s="1641"/>
    </row>
    <row r="97" spans="1:12" ht="15" customHeight="1" hidden="1">
      <c r="A97" s="1649"/>
      <c r="B97" s="1650"/>
      <c r="C97" s="1651"/>
      <c r="D97" s="1643"/>
      <c r="E97" s="551" t="s">
        <v>208</v>
      </c>
      <c r="F97" s="551" t="s">
        <v>209</v>
      </c>
      <c r="G97" s="551" t="s">
        <v>210</v>
      </c>
      <c r="H97" s="551" t="s">
        <v>211</v>
      </c>
      <c r="I97" s="551" t="s">
        <v>344</v>
      </c>
      <c r="J97" s="551" t="s">
        <v>212</v>
      </c>
      <c r="K97" s="1640"/>
      <c r="L97" s="1642"/>
    </row>
    <row r="98" spans="1:12" ht="15" hidden="1">
      <c r="A98" s="1647" t="s">
        <v>6</v>
      </c>
      <c r="B98" s="1648"/>
      <c r="C98" s="481">
        <v>1</v>
      </c>
      <c r="D98" s="482">
        <v>2</v>
      </c>
      <c r="E98" s="481">
        <v>3</v>
      </c>
      <c r="F98" s="482">
        <v>4</v>
      </c>
      <c r="G98" s="481">
        <v>5</v>
      </c>
      <c r="H98" s="482">
        <v>6</v>
      </c>
      <c r="I98" s="481">
        <v>7</v>
      </c>
      <c r="J98" s="482">
        <v>8</v>
      </c>
      <c r="K98" s="481">
        <v>9</v>
      </c>
      <c r="L98" s="482">
        <v>10</v>
      </c>
    </row>
    <row r="99" spans="1:12" ht="15" hidden="1">
      <c r="A99" s="506" t="s">
        <v>0</v>
      </c>
      <c r="B99" s="427" t="s">
        <v>130</v>
      </c>
      <c r="C99" s="852">
        <f>D99+K99+L99</f>
        <v>7108208</v>
      </c>
      <c r="D99" s="852">
        <f>E99+F99+G99+H99+I99+J99</f>
        <v>1434611</v>
      </c>
      <c r="E99" s="852">
        <f aca="true" t="shared" si="23" ref="E99:L99">E100+E101</f>
        <v>412988</v>
      </c>
      <c r="F99" s="852">
        <f t="shared" si="23"/>
        <v>300</v>
      </c>
      <c r="G99" s="852">
        <f t="shared" si="23"/>
        <v>503211</v>
      </c>
      <c r="H99" s="852">
        <f t="shared" si="23"/>
        <v>23123</v>
      </c>
      <c r="I99" s="852">
        <f t="shared" si="23"/>
        <v>172981</v>
      </c>
      <c r="J99" s="852">
        <f t="shared" si="23"/>
        <v>322008</v>
      </c>
      <c r="K99" s="852">
        <f t="shared" si="23"/>
        <v>0</v>
      </c>
      <c r="L99" s="852">
        <f t="shared" si="23"/>
        <v>5673597</v>
      </c>
    </row>
    <row r="100" spans="1:12" ht="15.75" hidden="1">
      <c r="A100" s="507">
        <v>1</v>
      </c>
      <c r="B100" s="429" t="s">
        <v>131</v>
      </c>
      <c r="C100" s="851">
        <f>SUM(D100,K100,L100)</f>
        <v>5038231</v>
      </c>
      <c r="D100" s="851">
        <f>SUM(E100:J100)</f>
        <v>962438</v>
      </c>
      <c r="E100" s="1108">
        <v>312193</v>
      </c>
      <c r="F100" s="882">
        <v>0</v>
      </c>
      <c r="G100" s="882">
        <v>388339</v>
      </c>
      <c r="H100" s="882">
        <v>0</v>
      </c>
      <c r="I100" s="1108">
        <v>99866</v>
      </c>
      <c r="J100" s="882">
        <v>162040</v>
      </c>
      <c r="K100" s="882">
        <v>0</v>
      </c>
      <c r="L100" s="1108">
        <v>4075793</v>
      </c>
    </row>
    <row r="101" spans="1:12" ht="15.75" hidden="1">
      <c r="A101" s="507">
        <v>2</v>
      </c>
      <c r="B101" s="429" t="s">
        <v>132</v>
      </c>
      <c r="C101" s="851">
        <f>SUM(D101,K101,L101)</f>
        <v>2069977</v>
      </c>
      <c r="D101" s="851">
        <f>SUM(E101:J101)</f>
        <v>472173</v>
      </c>
      <c r="E101" s="882">
        <v>100795</v>
      </c>
      <c r="F101" s="882">
        <v>300</v>
      </c>
      <c r="G101" s="882">
        <v>114872</v>
      </c>
      <c r="H101" s="882">
        <v>23123</v>
      </c>
      <c r="I101" s="882">
        <v>73115</v>
      </c>
      <c r="J101" s="882">
        <v>159968</v>
      </c>
      <c r="K101" s="882">
        <v>0</v>
      </c>
      <c r="L101" s="882">
        <v>1597804</v>
      </c>
    </row>
    <row r="102" spans="1:12" ht="24.75" customHeight="1" hidden="1">
      <c r="A102" s="508" t="s">
        <v>1</v>
      </c>
      <c r="B102" s="394" t="s">
        <v>133</v>
      </c>
      <c r="C102" s="851">
        <f>SUM(D102,K102,L102)</f>
        <v>145790</v>
      </c>
      <c r="D102" s="851">
        <f>SUM(E102:J102)</f>
        <v>77790</v>
      </c>
      <c r="E102" s="882">
        <v>7640</v>
      </c>
      <c r="F102" s="882">
        <v>0</v>
      </c>
      <c r="G102" s="882">
        <v>0</v>
      </c>
      <c r="H102" s="882">
        <v>0</v>
      </c>
      <c r="I102" s="882">
        <v>70150</v>
      </c>
      <c r="J102" s="882">
        <v>0</v>
      </c>
      <c r="K102" s="882" t="s">
        <v>585</v>
      </c>
      <c r="L102" s="882">
        <v>68000</v>
      </c>
    </row>
    <row r="103" spans="1:12" ht="21" customHeight="1" hidden="1">
      <c r="A103" s="508" t="s">
        <v>9</v>
      </c>
      <c r="B103" s="394" t="s">
        <v>134</v>
      </c>
      <c r="C103" s="851">
        <f>SUM(D103,K103,L103)</f>
        <v>0</v>
      </c>
      <c r="D103" s="851">
        <f>SUM(E103:J103)</f>
        <v>0</v>
      </c>
      <c r="E103" s="882">
        <v>0</v>
      </c>
      <c r="F103" s="882">
        <v>0</v>
      </c>
      <c r="G103" s="882">
        <v>0</v>
      </c>
      <c r="H103" s="882">
        <v>0</v>
      </c>
      <c r="I103" s="882">
        <v>0</v>
      </c>
      <c r="J103" s="882">
        <v>0</v>
      </c>
      <c r="K103" s="882">
        <v>0</v>
      </c>
      <c r="L103" s="882">
        <v>0</v>
      </c>
    </row>
    <row r="104" spans="1:12" ht="15" hidden="1">
      <c r="A104" s="508" t="s">
        <v>135</v>
      </c>
      <c r="B104" s="394" t="s">
        <v>136</v>
      </c>
      <c r="C104" s="853">
        <f>SUM(D104,K104,L104)</f>
        <v>6962418</v>
      </c>
      <c r="D104" s="853">
        <f>SUM(E104:J104)</f>
        <v>1356821</v>
      </c>
      <c r="E104" s="852">
        <f aca="true" t="shared" si="24" ref="E104:L104">E99-SUM(E102,E103)</f>
        <v>405348</v>
      </c>
      <c r="F104" s="852">
        <f t="shared" si="24"/>
        <v>300</v>
      </c>
      <c r="G104" s="852">
        <f t="shared" si="24"/>
        <v>503211</v>
      </c>
      <c r="H104" s="853">
        <f t="shared" si="24"/>
        <v>23123</v>
      </c>
      <c r="I104" s="852">
        <f t="shared" si="24"/>
        <v>102831</v>
      </c>
      <c r="J104" s="852">
        <f t="shared" si="24"/>
        <v>322008</v>
      </c>
      <c r="K104" s="852">
        <f t="shared" si="24"/>
        <v>0</v>
      </c>
      <c r="L104" s="852">
        <f t="shared" si="24"/>
        <v>5605597</v>
      </c>
    </row>
    <row r="105" spans="1:12" ht="15" hidden="1">
      <c r="A105" s="508" t="s">
        <v>51</v>
      </c>
      <c r="B105" s="430" t="s">
        <v>137</v>
      </c>
      <c r="C105" s="853">
        <f>C106+C107+C108+C109+C110+C111+C112+C113</f>
        <v>4296859</v>
      </c>
      <c r="D105" s="853">
        <f aca="true" t="shared" si="25" ref="D105:L105">D106+D107+D108+D109+D110+D111+D112+D113</f>
        <v>499900</v>
      </c>
      <c r="E105" s="853">
        <f t="shared" si="25"/>
        <v>124217</v>
      </c>
      <c r="F105" s="853">
        <f t="shared" si="25"/>
        <v>300</v>
      </c>
      <c r="G105" s="853">
        <f t="shared" si="25"/>
        <v>139991</v>
      </c>
      <c r="H105" s="853">
        <f t="shared" si="25"/>
        <v>23123</v>
      </c>
      <c r="I105" s="853">
        <f t="shared" si="25"/>
        <v>12479</v>
      </c>
      <c r="J105" s="853">
        <f t="shared" si="25"/>
        <v>199790</v>
      </c>
      <c r="K105" s="853">
        <f t="shared" si="25"/>
        <v>0</v>
      </c>
      <c r="L105" s="853">
        <f t="shared" si="25"/>
        <v>3796959</v>
      </c>
    </row>
    <row r="106" spans="1:12" ht="15.75" hidden="1">
      <c r="A106" s="507" t="s">
        <v>53</v>
      </c>
      <c r="B106" s="429" t="s">
        <v>138</v>
      </c>
      <c r="C106" s="858">
        <f>SUM(D106,K106,L106)</f>
        <v>999293</v>
      </c>
      <c r="D106" s="858">
        <f>SUM(E106:J106)</f>
        <v>378934</v>
      </c>
      <c r="E106" s="882">
        <v>65319</v>
      </c>
      <c r="F106" s="882">
        <v>300</v>
      </c>
      <c r="G106" s="882">
        <v>113664</v>
      </c>
      <c r="H106" s="882">
        <v>23123</v>
      </c>
      <c r="I106" s="882">
        <v>368</v>
      </c>
      <c r="J106" s="882">
        <v>176160</v>
      </c>
      <c r="K106" s="882">
        <v>0</v>
      </c>
      <c r="L106" s="882">
        <v>620359</v>
      </c>
    </row>
    <row r="107" spans="1:12" ht="15.75" hidden="1">
      <c r="A107" s="507" t="s">
        <v>54</v>
      </c>
      <c r="B107" s="429" t="s">
        <v>139</v>
      </c>
      <c r="C107" s="851">
        <f>SUM(D107,K107,L107)</f>
        <v>40776</v>
      </c>
      <c r="D107" s="851">
        <f>SUM(E107:J107)</f>
        <v>37336</v>
      </c>
      <c r="E107" s="882">
        <v>11755</v>
      </c>
      <c r="F107" s="882">
        <v>0</v>
      </c>
      <c r="G107" s="882">
        <v>300</v>
      </c>
      <c r="H107" s="882">
        <v>0</v>
      </c>
      <c r="I107" s="882">
        <v>9400</v>
      </c>
      <c r="J107" s="882">
        <v>15881</v>
      </c>
      <c r="K107" s="882">
        <v>0</v>
      </c>
      <c r="L107" s="882">
        <v>3440</v>
      </c>
    </row>
    <row r="108" spans="1:12" ht="15.75" hidden="1">
      <c r="A108" s="507" t="s">
        <v>140</v>
      </c>
      <c r="B108" s="429" t="s">
        <v>201</v>
      </c>
      <c r="C108" s="851">
        <f>SUM(D108,K108,L108)</f>
        <v>26409</v>
      </c>
      <c r="D108" s="851">
        <f>SUM(E108:J108)</f>
        <v>26409</v>
      </c>
      <c r="E108" s="882">
        <v>0</v>
      </c>
      <c r="F108" s="882">
        <v>0</v>
      </c>
      <c r="G108" s="882">
        <v>18027</v>
      </c>
      <c r="H108" s="882">
        <v>0</v>
      </c>
      <c r="I108" s="882">
        <v>2711</v>
      </c>
      <c r="J108" s="882">
        <v>5671</v>
      </c>
      <c r="K108" s="882">
        <v>0</v>
      </c>
      <c r="L108" s="882">
        <v>0</v>
      </c>
    </row>
    <row r="109" spans="1:12" ht="15.75" hidden="1">
      <c r="A109" s="507" t="s">
        <v>142</v>
      </c>
      <c r="B109" s="429" t="s">
        <v>141</v>
      </c>
      <c r="C109" s="858">
        <f>SUM(D109,K109,L109)</f>
        <v>3098181</v>
      </c>
      <c r="D109" s="858">
        <f>SUM(E109:J109)</f>
        <v>56221</v>
      </c>
      <c r="E109" s="882">
        <v>47143</v>
      </c>
      <c r="F109" s="882">
        <v>0</v>
      </c>
      <c r="G109" s="882">
        <v>8000</v>
      </c>
      <c r="H109" s="882">
        <v>0</v>
      </c>
      <c r="I109" s="882">
        <v>0</v>
      </c>
      <c r="J109" s="882">
        <v>1078</v>
      </c>
      <c r="K109" s="882">
        <v>0</v>
      </c>
      <c r="L109" s="882">
        <v>3041960</v>
      </c>
    </row>
    <row r="110" spans="1:12" ht="15.75" hidden="1">
      <c r="A110" s="507" t="s">
        <v>144</v>
      </c>
      <c r="B110" s="429" t="s">
        <v>143</v>
      </c>
      <c r="C110" s="851">
        <f>D110+K110+L110</f>
        <v>0</v>
      </c>
      <c r="D110" s="851">
        <f>E110+F110+G110+H110+I110+J110</f>
        <v>0</v>
      </c>
      <c r="E110" s="882">
        <v>0</v>
      </c>
      <c r="F110" s="882">
        <v>0</v>
      </c>
      <c r="G110" s="882">
        <v>0</v>
      </c>
      <c r="H110" s="882">
        <v>0</v>
      </c>
      <c r="I110" s="882">
        <v>0</v>
      </c>
      <c r="J110" s="882">
        <v>0</v>
      </c>
      <c r="K110" s="882">
        <v>0</v>
      </c>
      <c r="L110" s="882">
        <v>0</v>
      </c>
    </row>
    <row r="111" spans="1:12" ht="15.75" hidden="1">
      <c r="A111" s="507" t="s">
        <v>146</v>
      </c>
      <c r="B111" s="429" t="s">
        <v>145</v>
      </c>
      <c r="C111" s="851">
        <f>SUM(D111,K111,L111)</f>
        <v>0</v>
      </c>
      <c r="D111" s="851">
        <f>SUM(E111:J111)</f>
        <v>0</v>
      </c>
      <c r="E111" s="882">
        <v>0</v>
      </c>
      <c r="F111" s="882">
        <v>0</v>
      </c>
      <c r="G111" s="882">
        <v>0</v>
      </c>
      <c r="H111" s="882">
        <v>0</v>
      </c>
      <c r="I111" s="882">
        <v>0</v>
      </c>
      <c r="J111" s="882">
        <v>0</v>
      </c>
      <c r="K111" s="882">
        <v>0</v>
      </c>
      <c r="L111" s="882">
        <v>0</v>
      </c>
    </row>
    <row r="112" spans="1:12" ht="25.5" hidden="1">
      <c r="A112" s="507" t="s">
        <v>148</v>
      </c>
      <c r="B112" s="431" t="s">
        <v>147</v>
      </c>
      <c r="C112" s="851">
        <f>SUM(D112,K112,L112)</f>
        <v>0</v>
      </c>
      <c r="D112" s="851">
        <f>SUM(E112:J112)</f>
        <v>0</v>
      </c>
      <c r="E112" s="882">
        <v>0</v>
      </c>
      <c r="F112" s="882">
        <v>0</v>
      </c>
      <c r="G112" s="882">
        <v>0</v>
      </c>
      <c r="H112" s="882">
        <v>0</v>
      </c>
      <c r="I112" s="882">
        <v>0</v>
      </c>
      <c r="J112" s="882">
        <v>0</v>
      </c>
      <c r="K112" s="882">
        <v>0</v>
      </c>
      <c r="L112" s="882">
        <v>0</v>
      </c>
    </row>
    <row r="113" spans="1:12" ht="1.5" customHeight="1" hidden="1">
      <c r="A113" s="507" t="s">
        <v>185</v>
      </c>
      <c r="B113" s="429" t="s">
        <v>149</v>
      </c>
      <c r="C113" s="851">
        <f>SUM(D113,K113,L113)</f>
        <v>132200</v>
      </c>
      <c r="D113" s="851">
        <f>SUM(E113:J113)</f>
        <v>1000</v>
      </c>
      <c r="E113" s="882">
        <v>0</v>
      </c>
      <c r="F113" s="882">
        <v>0</v>
      </c>
      <c r="G113" s="882">
        <v>0</v>
      </c>
      <c r="H113" s="882">
        <v>0</v>
      </c>
      <c r="I113" s="882">
        <v>0</v>
      </c>
      <c r="J113" s="882">
        <v>1000</v>
      </c>
      <c r="K113" s="882">
        <v>0</v>
      </c>
      <c r="L113" s="882">
        <v>131200</v>
      </c>
    </row>
    <row r="114" spans="1:12" ht="20.25" customHeight="1" hidden="1">
      <c r="A114" s="508" t="s">
        <v>52</v>
      </c>
      <c r="B114" s="394" t="s">
        <v>150</v>
      </c>
      <c r="C114" s="853">
        <f>C99-C102-C105</f>
        <v>2665559</v>
      </c>
      <c r="D114" s="853">
        <f>SUM(E114:J114)</f>
        <v>856921</v>
      </c>
      <c r="E114" s="853">
        <f>E104-E105</f>
        <v>281131</v>
      </c>
      <c r="F114" s="853">
        <f aca="true" t="shared" si="26" ref="F114:K114">F104-F105</f>
        <v>0</v>
      </c>
      <c r="G114" s="853">
        <f t="shared" si="26"/>
        <v>363220</v>
      </c>
      <c r="H114" s="853">
        <f t="shared" si="26"/>
        <v>0</v>
      </c>
      <c r="I114" s="853">
        <f t="shared" si="26"/>
        <v>90352</v>
      </c>
      <c r="J114" s="853">
        <f t="shared" si="26"/>
        <v>122218</v>
      </c>
      <c r="K114" s="853">
        <f t="shared" si="26"/>
        <v>0</v>
      </c>
      <c r="L114" s="853">
        <f>L104-L105</f>
        <v>1808638</v>
      </c>
    </row>
    <row r="115" spans="1:12" ht="25.5" hidden="1">
      <c r="A115" s="534" t="s">
        <v>538</v>
      </c>
      <c r="B115" s="488" t="s">
        <v>213</v>
      </c>
      <c r="C115" s="532">
        <f>(C106+C107+C108)/C105</f>
        <v>0.2481994405680987</v>
      </c>
      <c r="D115" s="532">
        <f aca="true" t="shared" si="27" ref="D115:L115">(D106+D107+D108)/D105</f>
        <v>0.8855351070214043</v>
      </c>
      <c r="E115" s="533">
        <f t="shared" si="27"/>
        <v>0.6204786784417592</v>
      </c>
      <c r="F115" s="533">
        <f t="shared" si="27"/>
        <v>1</v>
      </c>
      <c r="G115" s="533">
        <f t="shared" si="27"/>
        <v>0.9428534691515883</v>
      </c>
      <c r="H115" s="533">
        <f t="shared" si="27"/>
        <v>1</v>
      </c>
      <c r="I115" s="533">
        <f t="shared" si="27"/>
        <v>1</v>
      </c>
      <c r="J115" s="533">
        <f t="shared" si="27"/>
        <v>0.9895990790329846</v>
      </c>
      <c r="K115" s="533" t="e">
        <f t="shared" si="27"/>
        <v>#DIV/0!</v>
      </c>
      <c r="L115" s="533">
        <f t="shared" si="27"/>
        <v>0.1642891060978009</v>
      </c>
    </row>
    <row r="116" ht="15" hidden="1"/>
    <row r="117" ht="15" hidden="1">
      <c r="B117" s="923" t="s">
        <v>745</v>
      </c>
    </row>
    <row r="118" ht="15" hidden="1"/>
    <row r="119" spans="1:12" ht="15" hidden="1">
      <c r="A119" s="1282" t="s">
        <v>70</v>
      </c>
      <c r="B119" s="1283"/>
      <c r="C119" s="1651" t="s">
        <v>37</v>
      </c>
      <c r="D119" s="1634" t="s">
        <v>337</v>
      </c>
      <c r="E119" s="1634"/>
      <c r="F119" s="1634"/>
      <c r="G119" s="1634"/>
      <c r="H119" s="1634"/>
      <c r="I119" s="1634"/>
      <c r="J119" s="1634"/>
      <c r="K119" s="1634"/>
      <c r="L119" s="1634"/>
    </row>
    <row r="120" spans="1:12" ht="9.75" customHeight="1" hidden="1">
      <c r="A120" s="1284"/>
      <c r="B120" s="1285"/>
      <c r="C120" s="1651"/>
      <c r="D120" s="1635" t="s">
        <v>205</v>
      </c>
      <c r="E120" s="1636"/>
      <c r="F120" s="1636"/>
      <c r="G120" s="1636"/>
      <c r="H120" s="1636"/>
      <c r="I120" s="1636"/>
      <c r="J120" s="1637"/>
      <c r="K120" s="1638" t="s">
        <v>206</v>
      </c>
      <c r="L120" s="1638" t="s">
        <v>207</v>
      </c>
    </row>
    <row r="121" spans="1:12" ht="15" hidden="1">
      <c r="A121" s="1284"/>
      <c r="B121" s="1285"/>
      <c r="C121" s="1651"/>
      <c r="D121" s="1643" t="s">
        <v>36</v>
      </c>
      <c r="E121" s="1644" t="s">
        <v>7</v>
      </c>
      <c r="F121" s="1645"/>
      <c r="G121" s="1645"/>
      <c r="H121" s="1645"/>
      <c r="I121" s="1645"/>
      <c r="J121" s="1646"/>
      <c r="K121" s="1639"/>
      <c r="L121" s="1641"/>
    </row>
    <row r="122" spans="1:12" ht="15" hidden="1">
      <c r="A122" s="1649"/>
      <c r="B122" s="1650"/>
      <c r="C122" s="1651"/>
      <c r="D122" s="1643"/>
      <c r="E122" s="551" t="s">
        <v>208</v>
      </c>
      <c r="F122" s="551" t="s">
        <v>209</v>
      </c>
      <c r="G122" s="551" t="s">
        <v>210</v>
      </c>
      <c r="H122" s="551" t="s">
        <v>211</v>
      </c>
      <c r="I122" s="551" t="s">
        <v>344</v>
      </c>
      <c r="J122" s="551" t="s">
        <v>212</v>
      </c>
      <c r="K122" s="1640"/>
      <c r="L122" s="1642"/>
    </row>
    <row r="123" spans="1:12" ht="12.75" customHeight="1" hidden="1">
      <c r="A123" s="1647" t="s">
        <v>6</v>
      </c>
      <c r="B123" s="1648"/>
      <c r="C123" s="481">
        <v>1</v>
      </c>
      <c r="D123" s="482">
        <v>2</v>
      </c>
      <c r="E123" s="481">
        <v>3</v>
      </c>
      <c r="F123" s="482">
        <v>4</v>
      </c>
      <c r="G123" s="481">
        <v>5</v>
      </c>
      <c r="H123" s="482">
        <v>6</v>
      </c>
      <c r="I123" s="481">
        <v>7</v>
      </c>
      <c r="J123" s="482">
        <v>8</v>
      </c>
      <c r="K123" s="481">
        <v>9</v>
      </c>
      <c r="L123" s="482">
        <v>10</v>
      </c>
    </row>
    <row r="124" spans="1:12" ht="15" hidden="1">
      <c r="A124" s="506" t="s">
        <v>0</v>
      </c>
      <c r="B124" s="427" t="s">
        <v>130</v>
      </c>
      <c r="C124" s="852">
        <f>D124+K124+L124</f>
        <v>20956599</v>
      </c>
      <c r="D124" s="852">
        <f>E124+F124+G124+H124+I124+J124</f>
        <v>2706030</v>
      </c>
      <c r="E124" s="852">
        <f aca="true" t="shared" si="28" ref="E124:L124">E125+E126</f>
        <v>677020</v>
      </c>
      <c r="F124" s="852">
        <f t="shared" si="28"/>
        <v>0</v>
      </c>
      <c r="G124" s="852">
        <f t="shared" si="28"/>
        <v>1043295</v>
      </c>
      <c r="H124" s="852">
        <f t="shared" si="28"/>
        <v>0</v>
      </c>
      <c r="I124" s="852">
        <f t="shared" si="28"/>
        <v>0</v>
      </c>
      <c r="J124" s="852">
        <f t="shared" si="28"/>
        <v>985715</v>
      </c>
      <c r="K124" s="852">
        <f t="shared" si="28"/>
        <v>0</v>
      </c>
      <c r="L124" s="852">
        <f t="shared" si="28"/>
        <v>18250569</v>
      </c>
    </row>
    <row r="125" spans="1:12" ht="15" customHeight="1" hidden="1">
      <c r="A125" s="507">
        <v>1</v>
      </c>
      <c r="B125" s="429" t="s">
        <v>131</v>
      </c>
      <c r="C125" s="851">
        <f>SUM(D125,K125,L125)</f>
        <v>18672023</v>
      </c>
      <c r="D125" s="851">
        <f>SUM(E125:J125)</f>
        <v>2119493</v>
      </c>
      <c r="E125" s="936">
        <v>532104</v>
      </c>
      <c r="F125" s="936">
        <v>0</v>
      </c>
      <c r="G125" s="936">
        <v>919939</v>
      </c>
      <c r="H125" s="936">
        <v>0</v>
      </c>
      <c r="I125" s="936">
        <v>0</v>
      </c>
      <c r="J125" s="936">
        <v>667450</v>
      </c>
      <c r="K125" s="936">
        <v>0</v>
      </c>
      <c r="L125" s="936">
        <v>16552530</v>
      </c>
    </row>
    <row r="126" spans="1:12" ht="18.75" customHeight="1" hidden="1">
      <c r="A126" s="507">
        <v>2</v>
      </c>
      <c r="B126" s="429" t="s">
        <v>132</v>
      </c>
      <c r="C126" s="851">
        <f>SUM(D126,K126,L126)</f>
        <v>2284576</v>
      </c>
      <c r="D126" s="851">
        <f>SUM(E126:J126)</f>
        <v>586537</v>
      </c>
      <c r="E126" s="936">
        <v>144916</v>
      </c>
      <c r="F126" s="936">
        <v>0</v>
      </c>
      <c r="G126" s="936">
        <v>123356</v>
      </c>
      <c r="H126" s="936">
        <v>0</v>
      </c>
      <c r="I126" s="936">
        <v>0</v>
      </c>
      <c r="J126" s="936">
        <v>318265</v>
      </c>
      <c r="K126" s="936">
        <v>0</v>
      </c>
      <c r="L126" s="936">
        <v>1698039</v>
      </c>
    </row>
    <row r="127" spans="1:12" ht="0.75" customHeight="1" hidden="1">
      <c r="A127" s="508" t="s">
        <v>1</v>
      </c>
      <c r="B127" s="394" t="s">
        <v>133</v>
      </c>
      <c r="C127" s="851">
        <f>SUM(D127,K127,L127)</f>
        <v>3200</v>
      </c>
      <c r="D127" s="851">
        <f>SUM(E127:J127)</f>
        <v>3200</v>
      </c>
      <c r="E127" s="980">
        <v>200</v>
      </c>
      <c r="F127" s="980">
        <v>0</v>
      </c>
      <c r="G127" s="980">
        <v>3000</v>
      </c>
      <c r="H127" s="980">
        <v>0</v>
      </c>
      <c r="I127" s="980">
        <v>0</v>
      </c>
      <c r="J127" s="980">
        <v>0</v>
      </c>
      <c r="K127" s="980">
        <v>0</v>
      </c>
      <c r="L127" s="980">
        <v>0</v>
      </c>
    </row>
    <row r="128" spans="1:12" ht="15" hidden="1">
      <c r="A128" s="508" t="s">
        <v>9</v>
      </c>
      <c r="B128" s="394" t="s">
        <v>134</v>
      </c>
      <c r="C128" s="851">
        <f>SUM(D128,K128,L128)</f>
        <v>0</v>
      </c>
      <c r="D128" s="851">
        <f>SUM(E128:J128)</f>
        <v>0</v>
      </c>
      <c r="E128" s="811"/>
      <c r="F128" s="811"/>
      <c r="G128" s="811"/>
      <c r="H128" s="811"/>
      <c r="I128" s="811"/>
      <c r="J128" s="811"/>
      <c r="K128" s="811"/>
      <c r="L128" s="811"/>
    </row>
    <row r="129" spans="1:12" ht="15" hidden="1">
      <c r="A129" s="508" t="s">
        <v>135</v>
      </c>
      <c r="B129" s="394" t="s">
        <v>136</v>
      </c>
      <c r="C129" s="853">
        <f>SUM(D129,K129,L129)</f>
        <v>20953399</v>
      </c>
      <c r="D129" s="853">
        <f>SUM(E129:J129)</f>
        <v>2702830</v>
      </c>
      <c r="E129" s="854">
        <f aca="true" t="shared" si="29" ref="E129:L129">E124-SUM(E127,E128)</f>
        <v>676820</v>
      </c>
      <c r="F129" s="854">
        <f t="shared" si="29"/>
        <v>0</v>
      </c>
      <c r="G129" s="854">
        <f t="shared" si="29"/>
        <v>1040295</v>
      </c>
      <c r="H129" s="855">
        <f t="shared" si="29"/>
        <v>0</v>
      </c>
      <c r="I129" s="854">
        <f t="shared" si="29"/>
        <v>0</v>
      </c>
      <c r="J129" s="854">
        <f t="shared" si="29"/>
        <v>985715</v>
      </c>
      <c r="K129" s="854">
        <f t="shared" si="29"/>
        <v>0</v>
      </c>
      <c r="L129" s="854">
        <f t="shared" si="29"/>
        <v>18250569</v>
      </c>
    </row>
    <row r="130" spans="1:12" ht="15" hidden="1">
      <c r="A130" s="508" t="s">
        <v>51</v>
      </c>
      <c r="B130" s="430" t="s">
        <v>137</v>
      </c>
      <c r="C130" s="853">
        <f>C131+C132+C133+C134+C135+C136+C137+C138</f>
        <v>6001385</v>
      </c>
      <c r="D130" s="853">
        <f aca="true" t="shared" si="30" ref="D130:L130">D131+D132+D133+D134+D135+D136+D137+D138</f>
        <v>1006148</v>
      </c>
      <c r="E130" s="853">
        <f t="shared" si="30"/>
        <v>231976</v>
      </c>
      <c r="F130" s="853">
        <f t="shared" si="30"/>
        <v>0</v>
      </c>
      <c r="G130" s="853">
        <f t="shared" si="30"/>
        <v>457102</v>
      </c>
      <c r="H130" s="853">
        <f t="shared" si="30"/>
        <v>0</v>
      </c>
      <c r="I130" s="853">
        <f t="shared" si="30"/>
        <v>0</v>
      </c>
      <c r="J130" s="853">
        <f t="shared" si="30"/>
        <v>317070</v>
      </c>
      <c r="K130" s="853">
        <f t="shared" si="30"/>
        <v>0</v>
      </c>
      <c r="L130" s="853">
        <f t="shared" si="30"/>
        <v>4995237</v>
      </c>
    </row>
    <row r="131" spans="1:12" ht="15" hidden="1">
      <c r="A131" s="507" t="s">
        <v>53</v>
      </c>
      <c r="B131" s="429" t="s">
        <v>138</v>
      </c>
      <c r="C131" s="858">
        <f>SUM(D131,K131,L131)</f>
        <v>849647</v>
      </c>
      <c r="D131" s="858">
        <f>SUM(E131:J131)</f>
        <v>564164</v>
      </c>
      <c r="E131" s="936">
        <v>134032</v>
      </c>
      <c r="F131" s="936">
        <v>0</v>
      </c>
      <c r="G131" s="936">
        <v>125903</v>
      </c>
      <c r="H131" s="936">
        <v>0</v>
      </c>
      <c r="I131" s="936">
        <v>0</v>
      </c>
      <c r="J131" s="936">
        <v>304229</v>
      </c>
      <c r="K131" s="936">
        <v>0</v>
      </c>
      <c r="L131" s="936">
        <v>285483</v>
      </c>
    </row>
    <row r="132" spans="1:12" ht="15" hidden="1">
      <c r="A132" s="507" t="s">
        <v>54</v>
      </c>
      <c r="B132" s="429" t="s">
        <v>139</v>
      </c>
      <c r="C132" s="851">
        <f>SUM(D132,K132,L132)</f>
        <v>333333</v>
      </c>
      <c r="D132" s="851">
        <f>SUM(E132:J132)</f>
        <v>308510</v>
      </c>
      <c r="E132" s="936">
        <v>4510</v>
      </c>
      <c r="F132" s="936">
        <v>0</v>
      </c>
      <c r="G132" s="936">
        <v>303400</v>
      </c>
      <c r="H132" s="936">
        <v>0</v>
      </c>
      <c r="I132" s="936">
        <v>0</v>
      </c>
      <c r="J132" s="936">
        <v>600</v>
      </c>
      <c r="K132" s="936">
        <v>0</v>
      </c>
      <c r="L132" s="936">
        <v>24823</v>
      </c>
    </row>
    <row r="133" spans="1:12" ht="15" hidden="1">
      <c r="A133" s="507" t="s">
        <v>140</v>
      </c>
      <c r="B133" s="429" t="s">
        <v>201</v>
      </c>
      <c r="C133" s="851">
        <f>SUM(D133,K133,L133)</f>
        <v>0</v>
      </c>
      <c r="D133" s="851">
        <f>SUM(E133:J133)</f>
        <v>0</v>
      </c>
      <c r="E133" s="936">
        <v>0</v>
      </c>
      <c r="F133" s="936">
        <v>0</v>
      </c>
      <c r="G133" s="936">
        <v>0</v>
      </c>
      <c r="H133" s="936">
        <v>0</v>
      </c>
      <c r="I133" s="936">
        <v>0</v>
      </c>
      <c r="J133" s="936">
        <v>0</v>
      </c>
      <c r="K133" s="936">
        <v>0</v>
      </c>
      <c r="L133" s="936">
        <v>0</v>
      </c>
    </row>
    <row r="134" spans="1:12" ht="15" hidden="1">
      <c r="A134" s="507" t="s">
        <v>142</v>
      </c>
      <c r="B134" s="429" t="s">
        <v>141</v>
      </c>
      <c r="C134" s="858">
        <f>SUM(D134,K134,L134)</f>
        <v>3340181</v>
      </c>
      <c r="D134" s="858">
        <f>SUM(E134:J134)</f>
        <v>108592</v>
      </c>
      <c r="E134" s="936">
        <v>68552</v>
      </c>
      <c r="F134" s="936">
        <v>0</v>
      </c>
      <c r="G134" s="936">
        <v>27799</v>
      </c>
      <c r="H134" s="936">
        <v>0</v>
      </c>
      <c r="I134" s="936">
        <v>0</v>
      </c>
      <c r="J134" s="936">
        <v>12241</v>
      </c>
      <c r="K134" s="936">
        <v>0</v>
      </c>
      <c r="L134" s="936">
        <v>3231589</v>
      </c>
    </row>
    <row r="135" spans="1:12" ht="0.75" customHeight="1" hidden="1">
      <c r="A135" s="507" t="s">
        <v>144</v>
      </c>
      <c r="B135" s="429" t="s">
        <v>143</v>
      </c>
      <c r="C135" s="851">
        <f>D135+K135+L135</f>
        <v>1410932</v>
      </c>
      <c r="D135" s="851">
        <f>E135+F135+G135+H135+I135+J135</f>
        <v>22206</v>
      </c>
      <c r="E135" s="936">
        <v>22206</v>
      </c>
      <c r="F135" s="936">
        <v>0</v>
      </c>
      <c r="G135" s="936">
        <v>0</v>
      </c>
      <c r="H135" s="936">
        <v>0</v>
      </c>
      <c r="I135" s="936">
        <v>0</v>
      </c>
      <c r="J135" s="936">
        <v>0</v>
      </c>
      <c r="K135" s="936">
        <v>0</v>
      </c>
      <c r="L135" s="936">
        <v>1388726</v>
      </c>
    </row>
    <row r="136" spans="1:12" ht="15" hidden="1">
      <c r="A136" s="507" t="s">
        <v>146</v>
      </c>
      <c r="B136" s="429" t="s">
        <v>145</v>
      </c>
      <c r="C136" s="851">
        <f>SUM(D136,K136,L136)</f>
        <v>0</v>
      </c>
      <c r="D136" s="851">
        <f>SUM(E136:J136)</f>
        <v>0</v>
      </c>
      <c r="E136" s="936">
        <v>0</v>
      </c>
      <c r="F136" s="936">
        <v>0</v>
      </c>
      <c r="G136" s="936">
        <v>0</v>
      </c>
      <c r="H136" s="936">
        <v>0</v>
      </c>
      <c r="I136" s="936">
        <v>0</v>
      </c>
      <c r="J136" s="936">
        <v>0</v>
      </c>
      <c r="K136" s="936">
        <v>0</v>
      </c>
      <c r="L136" s="936">
        <v>0</v>
      </c>
    </row>
    <row r="137" spans="1:12" ht="12.75" customHeight="1" hidden="1">
      <c r="A137" s="507" t="s">
        <v>148</v>
      </c>
      <c r="B137" s="431" t="s">
        <v>147</v>
      </c>
      <c r="C137" s="851">
        <f>SUM(D137,K137,L137)</f>
        <v>0</v>
      </c>
      <c r="D137" s="851">
        <f>SUM(E137:J137)</f>
        <v>0</v>
      </c>
      <c r="E137" s="936">
        <v>0</v>
      </c>
      <c r="F137" s="936">
        <v>0</v>
      </c>
      <c r="G137" s="936">
        <v>0</v>
      </c>
      <c r="H137" s="936">
        <v>0</v>
      </c>
      <c r="I137" s="936">
        <v>0</v>
      </c>
      <c r="J137" s="936">
        <v>0</v>
      </c>
      <c r="K137" s="936">
        <v>0</v>
      </c>
      <c r="L137" s="936">
        <v>0</v>
      </c>
    </row>
    <row r="138" spans="1:12" ht="15" hidden="1">
      <c r="A138" s="507" t="s">
        <v>185</v>
      </c>
      <c r="B138" s="429" t="s">
        <v>149</v>
      </c>
      <c r="C138" s="851">
        <f>SUM(D138,K138,L138)</f>
        <v>67292</v>
      </c>
      <c r="D138" s="851">
        <f>SUM(E138:J138)</f>
        <v>2676</v>
      </c>
      <c r="E138" s="936">
        <v>2676</v>
      </c>
      <c r="F138" s="936">
        <v>0</v>
      </c>
      <c r="G138" s="936">
        <v>0</v>
      </c>
      <c r="H138" s="936">
        <v>0</v>
      </c>
      <c r="I138" s="936">
        <v>0</v>
      </c>
      <c r="J138" s="936">
        <v>0</v>
      </c>
      <c r="K138" s="936">
        <v>0</v>
      </c>
      <c r="L138" s="936">
        <v>64616</v>
      </c>
    </row>
    <row r="139" spans="1:12" ht="15" customHeight="1" hidden="1">
      <c r="A139" s="508" t="s">
        <v>52</v>
      </c>
      <c r="B139" s="394" t="s">
        <v>150</v>
      </c>
      <c r="C139" s="853">
        <f>C124-C127-C130</f>
        <v>14952014</v>
      </c>
      <c r="D139" s="853">
        <f>SUM(E139:J139)</f>
        <v>1696682</v>
      </c>
      <c r="E139" s="853">
        <f>E129-E130</f>
        <v>444844</v>
      </c>
      <c r="F139" s="853">
        <f aca="true" t="shared" si="31" ref="F139:K139">F129-F130</f>
        <v>0</v>
      </c>
      <c r="G139" s="853">
        <f t="shared" si="31"/>
        <v>583193</v>
      </c>
      <c r="H139" s="853">
        <f t="shared" si="31"/>
        <v>0</v>
      </c>
      <c r="I139" s="853">
        <f t="shared" si="31"/>
        <v>0</v>
      </c>
      <c r="J139" s="853">
        <f t="shared" si="31"/>
        <v>668645</v>
      </c>
      <c r="K139" s="853">
        <f t="shared" si="31"/>
        <v>0</v>
      </c>
      <c r="L139" s="853">
        <f>L129-L130</f>
        <v>13255332</v>
      </c>
    </row>
    <row r="140" spans="1:12" ht="25.5" hidden="1">
      <c r="A140" s="534" t="s">
        <v>538</v>
      </c>
      <c r="B140" s="488" t="s">
        <v>213</v>
      </c>
      <c r="C140" s="532">
        <f>(C131+C132+C133)/C130</f>
        <v>0.19711783196712093</v>
      </c>
      <c r="D140" s="532">
        <f aca="true" t="shared" si="32" ref="D140:L140">(D131+D132+D133)/D130</f>
        <v>0.8673415839419251</v>
      </c>
      <c r="E140" s="533">
        <f t="shared" si="32"/>
        <v>0.5972255750594889</v>
      </c>
      <c r="F140" s="533" t="e">
        <f t="shared" si="32"/>
        <v>#DIV/0!</v>
      </c>
      <c r="G140" s="533">
        <f t="shared" si="32"/>
        <v>0.9391842520925308</v>
      </c>
      <c r="H140" s="533" t="e">
        <f t="shared" si="32"/>
        <v>#DIV/0!</v>
      </c>
      <c r="I140" s="533" t="e">
        <f t="shared" si="32"/>
        <v>#DIV/0!</v>
      </c>
      <c r="J140" s="533">
        <f t="shared" si="32"/>
        <v>0.9613933831646009</v>
      </c>
      <c r="K140" s="533" t="e">
        <f t="shared" si="32"/>
        <v>#DIV/0!</v>
      </c>
      <c r="L140" s="533">
        <f t="shared" si="32"/>
        <v>0.06212037587005381</v>
      </c>
    </row>
    <row r="141" ht="15" hidden="1"/>
    <row r="142" ht="15" hidden="1">
      <c r="B142" s="477" t="s">
        <v>744</v>
      </c>
    </row>
    <row r="143" ht="15" hidden="1"/>
    <row r="144" spans="1:12" ht="15" hidden="1">
      <c r="A144" s="1282" t="s">
        <v>70</v>
      </c>
      <c r="B144" s="1283"/>
      <c r="C144" s="1651" t="s">
        <v>37</v>
      </c>
      <c r="D144" s="1634" t="s">
        <v>337</v>
      </c>
      <c r="E144" s="1634"/>
      <c r="F144" s="1634"/>
      <c r="G144" s="1634"/>
      <c r="H144" s="1634"/>
      <c r="I144" s="1634"/>
      <c r="J144" s="1634"/>
      <c r="K144" s="1634"/>
      <c r="L144" s="1634"/>
    </row>
    <row r="145" spans="1:12" ht="15" hidden="1">
      <c r="A145" s="1284"/>
      <c r="B145" s="1285"/>
      <c r="C145" s="1651"/>
      <c r="D145" s="1635" t="s">
        <v>205</v>
      </c>
      <c r="E145" s="1636"/>
      <c r="F145" s="1636"/>
      <c r="G145" s="1636"/>
      <c r="H145" s="1636"/>
      <c r="I145" s="1636"/>
      <c r="J145" s="1637"/>
      <c r="K145" s="1638" t="s">
        <v>206</v>
      </c>
      <c r="L145" s="1638" t="s">
        <v>207</v>
      </c>
    </row>
    <row r="146" spans="1:12" ht="15" hidden="1">
      <c r="A146" s="1284"/>
      <c r="B146" s="1285"/>
      <c r="C146" s="1651"/>
      <c r="D146" s="1643" t="s">
        <v>36</v>
      </c>
      <c r="E146" s="1644" t="s">
        <v>7</v>
      </c>
      <c r="F146" s="1645"/>
      <c r="G146" s="1645"/>
      <c r="H146" s="1645"/>
      <c r="I146" s="1645"/>
      <c r="J146" s="1646"/>
      <c r="K146" s="1639"/>
      <c r="L146" s="1641"/>
    </row>
    <row r="147" spans="1:12" ht="18.75" customHeight="1" hidden="1">
      <c r="A147" s="1649"/>
      <c r="B147" s="1650"/>
      <c r="C147" s="1651"/>
      <c r="D147" s="1643"/>
      <c r="E147" s="551" t="s">
        <v>208</v>
      </c>
      <c r="F147" s="551" t="s">
        <v>209</v>
      </c>
      <c r="G147" s="551" t="s">
        <v>210</v>
      </c>
      <c r="H147" s="551" t="s">
        <v>211</v>
      </c>
      <c r="I147" s="551" t="s">
        <v>344</v>
      </c>
      <c r="J147" s="551" t="s">
        <v>212</v>
      </c>
      <c r="K147" s="1640"/>
      <c r="L147" s="1642"/>
    </row>
    <row r="148" spans="1:12" ht="0.75" customHeight="1" hidden="1">
      <c r="A148" s="1647" t="s">
        <v>6</v>
      </c>
      <c r="B148" s="1648"/>
      <c r="C148" s="481">
        <v>1</v>
      </c>
      <c r="D148" s="482">
        <v>2</v>
      </c>
      <c r="E148" s="481">
        <v>3</v>
      </c>
      <c r="F148" s="482">
        <v>4</v>
      </c>
      <c r="G148" s="481">
        <v>5</v>
      </c>
      <c r="H148" s="482">
        <v>6</v>
      </c>
      <c r="I148" s="481">
        <v>7</v>
      </c>
      <c r="J148" s="482">
        <v>8</v>
      </c>
      <c r="K148" s="481">
        <v>9</v>
      </c>
      <c r="L148" s="482">
        <v>10</v>
      </c>
    </row>
    <row r="149" spans="1:12" ht="17.25" customHeight="1" hidden="1">
      <c r="A149" s="506" t="s">
        <v>0</v>
      </c>
      <c r="B149" s="427" t="s">
        <v>130</v>
      </c>
      <c r="C149" s="852">
        <f>D149+K149+L149</f>
        <v>13352427</v>
      </c>
      <c r="D149" s="852">
        <f>E149+F149+G149+H149+I149+J149</f>
        <v>868644</v>
      </c>
      <c r="E149" s="852">
        <f aca="true" t="shared" si="33" ref="E149:L149">E150+E151</f>
        <v>310507</v>
      </c>
      <c r="F149" s="852">
        <f t="shared" si="33"/>
        <v>0</v>
      </c>
      <c r="G149" s="852">
        <f t="shared" si="33"/>
        <v>270084</v>
      </c>
      <c r="H149" s="852">
        <f t="shared" si="33"/>
        <v>63459</v>
      </c>
      <c r="I149" s="852">
        <f t="shared" si="33"/>
        <v>135349</v>
      </c>
      <c r="J149" s="852">
        <f t="shared" si="33"/>
        <v>89245</v>
      </c>
      <c r="K149" s="852">
        <f t="shared" si="33"/>
        <v>7455288</v>
      </c>
      <c r="L149" s="852">
        <f t="shared" si="33"/>
        <v>5028495</v>
      </c>
    </row>
    <row r="150" spans="1:12" ht="15" hidden="1">
      <c r="A150" s="507">
        <v>1</v>
      </c>
      <c r="B150" s="429" t="s">
        <v>131</v>
      </c>
      <c r="C150" s="851">
        <f>SUM(D150,K150,L150)</f>
        <v>10602855</v>
      </c>
      <c r="D150" s="851">
        <f>SUM(E150:J150)</f>
        <v>388593</v>
      </c>
      <c r="E150" s="957">
        <v>162138</v>
      </c>
      <c r="F150" s="957">
        <v>0</v>
      </c>
      <c r="G150" s="957">
        <v>101332</v>
      </c>
      <c r="H150" s="957">
        <v>693</v>
      </c>
      <c r="I150" s="957">
        <v>124430</v>
      </c>
      <c r="J150" s="957">
        <v>0</v>
      </c>
      <c r="K150" s="957">
        <v>7455288</v>
      </c>
      <c r="L150" s="957">
        <v>2758974</v>
      </c>
    </row>
    <row r="151" spans="1:12" ht="15" hidden="1">
      <c r="A151" s="507">
        <v>2</v>
      </c>
      <c r="B151" s="429" t="s">
        <v>132</v>
      </c>
      <c r="C151" s="851">
        <f>SUM(D151,K151,L151)</f>
        <v>2749572</v>
      </c>
      <c r="D151" s="851">
        <f>SUM(E151:J151)</f>
        <v>480051</v>
      </c>
      <c r="E151" s="957">
        <v>148369</v>
      </c>
      <c r="F151" s="957">
        <v>0</v>
      </c>
      <c r="G151" s="957">
        <v>168752</v>
      </c>
      <c r="H151" s="957">
        <v>62766</v>
      </c>
      <c r="I151" s="957">
        <v>10919</v>
      </c>
      <c r="J151" s="957">
        <v>89245</v>
      </c>
      <c r="K151" s="957"/>
      <c r="L151" s="957">
        <v>2269521</v>
      </c>
    </row>
    <row r="152" spans="1:12" ht="22.5" customHeight="1" hidden="1">
      <c r="A152" s="508" t="s">
        <v>1</v>
      </c>
      <c r="B152" s="394" t="s">
        <v>133</v>
      </c>
      <c r="C152" s="851">
        <f>SUM(D152,K152,L152)</f>
        <v>7472838</v>
      </c>
      <c r="D152" s="851">
        <f>SUM(E152:J152)</f>
        <v>17550</v>
      </c>
      <c r="E152" s="879">
        <v>1550</v>
      </c>
      <c r="F152" s="879"/>
      <c r="G152" s="879">
        <v>16000</v>
      </c>
      <c r="H152" s="879"/>
      <c r="I152" s="879"/>
      <c r="J152" s="879"/>
      <c r="K152" s="879">
        <v>7455288</v>
      </c>
      <c r="L152" s="879"/>
    </row>
    <row r="153" spans="1:12" ht="15" hidden="1">
      <c r="A153" s="508" t="s">
        <v>9</v>
      </c>
      <c r="B153" s="394" t="s">
        <v>134</v>
      </c>
      <c r="C153" s="851">
        <f>SUM(D153,K153,L153)</f>
        <v>0</v>
      </c>
      <c r="D153" s="851">
        <f>SUM(E153:J153)</f>
        <v>0</v>
      </c>
      <c r="E153" s="879"/>
      <c r="F153" s="879"/>
      <c r="G153" s="879"/>
      <c r="H153" s="879"/>
      <c r="I153" s="879"/>
      <c r="J153" s="879"/>
      <c r="K153" s="879"/>
      <c r="L153" s="879"/>
    </row>
    <row r="154" spans="1:12" ht="15" hidden="1">
      <c r="A154" s="508" t="s">
        <v>135</v>
      </c>
      <c r="B154" s="394" t="s">
        <v>136</v>
      </c>
      <c r="C154" s="853">
        <f>SUM(D154,K154,L154)</f>
        <v>5879589</v>
      </c>
      <c r="D154" s="853">
        <f>SUM(E154:J154)</f>
        <v>851094</v>
      </c>
      <c r="E154" s="854">
        <f aca="true" t="shared" si="34" ref="E154:L154">E149-SUM(E152,E153)</f>
        <v>308957</v>
      </c>
      <c r="F154" s="854">
        <f t="shared" si="34"/>
        <v>0</v>
      </c>
      <c r="G154" s="854">
        <f t="shared" si="34"/>
        <v>254084</v>
      </c>
      <c r="H154" s="855">
        <f t="shared" si="34"/>
        <v>63459</v>
      </c>
      <c r="I154" s="854">
        <f t="shared" si="34"/>
        <v>135349</v>
      </c>
      <c r="J154" s="854">
        <f t="shared" si="34"/>
        <v>89245</v>
      </c>
      <c r="K154" s="854">
        <f t="shared" si="34"/>
        <v>0</v>
      </c>
      <c r="L154" s="854">
        <f t="shared" si="34"/>
        <v>5028495</v>
      </c>
    </row>
    <row r="155" spans="1:12" ht="15" hidden="1">
      <c r="A155" s="508" t="s">
        <v>51</v>
      </c>
      <c r="B155" s="430" t="s">
        <v>137</v>
      </c>
      <c r="C155" s="853">
        <f>C156+C157+C158+C159+C160+C161+C162+C163</f>
        <v>2286595</v>
      </c>
      <c r="D155" s="853">
        <f aca="true" t="shared" si="35" ref="D155:L155">D156+D157+D158+D159+D160+D161+D162+D163</f>
        <v>477816</v>
      </c>
      <c r="E155" s="853">
        <f t="shared" si="35"/>
        <v>168324</v>
      </c>
      <c r="F155" s="853">
        <f t="shared" si="35"/>
        <v>0</v>
      </c>
      <c r="G155" s="853">
        <f t="shared" si="35"/>
        <v>153777</v>
      </c>
      <c r="H155" s="853">
        <f t="shared" si="35"/>
        <v>63459</v>
      </c>
      <c r="I155" s="853">
        <f t="shared" si="35"/>
        <v>3011</v>
      </c>
      <c r="J155" s="853">
        <f t="shared" si="35"/>
        <v>89245</v>
      </c>
      <c r="K155" s="853">
        <f t="shared" si="35"/>
        <v>0</v>
      </c>
      <c r="L155" s="853">
        <f t="shared" si="35"/>
        <v>1808779</v>
      </c>
    </row>
    <row r="156" spans="1:12" ht="15" hidden="1">
      <c r="A156" s="507" t="s">
        <v>53</v>
      </c>
      <c r="B156" s="429" t="s">
        <v>138</v>
      </c>
      <c r="C156" s="858">
        <f>SUM(D156,K156,L156)</f>
        <v>1219310</v>
      </c>
      <c r="D156" s="858">
        <f>SUM(E156:J156)</f>
        <v>458609</v>
      </c>
      <c r="E156" s="880">
        <v>157164</v>
      </c>
      <c r="F156" s="880">
        <v>0</v>
      </c>
      <c r="G156" s="880">
        <v>145730</v>
      </c>
      <c r="H156" s="880">
        <v>63459</v>
      </c>
      <c r="I156" s="880">
        <v>3011</v>
      </c>
      <c r="J156" s="880">
        <v>89245</v>
      </c>
      <c r="K156" s="880">
        <v>0</v>
      </c>
      <c r="L156" s="880">
        <v>760701</v>
      </c>
    </row>
    <row r="157" spans="1:12" ht="15" hidden="1">
      <c r="A157" s="507" t="s">
        <v>54</v>
      </c>
      <c r="B157" s="429" t="s">
        <v>139</v>
      </c>
      <c r="C157" s="851">
        <f>SUM(D157,K157,L157)</f>
        <v>46610</v>
      </c>
      <c r="D157" s="851">
        <f>SUM(E157:J157)</f>
        <v>4640</v>
      </c>
      <c r="E157" s="880">
        <v>4640</v>
      </c>
      <c r="F157" s="880"/>
      <c r="G157" s="880"/>
      <c r="H157" s="880"/>
      <c r="I157" s="880"/>
      <c r="J157" s="880"/>
      <c r="K157" s="880"/>
      <c r="L157" s="880">
        <v>41970</v>
      </c>
    </row>
    <row r="158" spans="1:12" ht="15" hidden="1">
      <c r="A158" s="507" t="s">
        <v>140</v>
      </c>
      <c r="B158" s="429" t="s">
        <v>201</v>
      </c>
      <c r="C158" s="851">
        <f>SUM(D158,K158,L158)</f>
        <v>0</v>
      </c>
      <c r="D158" s="851">
        <f>SUM(E158:J158)</f>
        <v>0</v>
      </c>
      <c r="E158" s="880"/>
      <c r="F158" s="880"/>
      <c r="G158" s="880"/>
      <c r="H158" s="880"/>
      <c r="I158" s="880"/>
      <c r="J158" s="880"/>
      <c r="K158" s="880"/>
      <c r="L158" s="880"/>
    </row>
    <row r="159" spans="1:12" ht="15" hidden="1">
      <c r="A159" s="507" t="s">
        <v>142</v>
      </c>
      <c r="B159" s="429" t="s">
        <v>141</v>
      </c>
      <c r="C159" s="858">
        <f>SUM(D159,K159,L159)</f>
        <v>870675</v>
      </c>
      <c r="D159" s="858">
        <f>SUM(E159:J159)</f>
        <v>14567</v>
      </c>
      <c r="E159" s="880">
        <v>6520</v>
      </c>
      <c r="F159" s="880">
        <v>0</v>
      </c>
      <c r="G159" s="880">
        <v>8047</v>
      </c>
      <c r="H159" s="880"/>
      <c r="I159" s="880"/>
      <c r="J159" s="880"/>
      <c r="K159" s="880"/>
      <c r="L159" s="880">
        <v>856108</v>
      </c>
    </row>
    <row r="160" spans="1:12" ht="18.75" customHeight="1" hidden="1">
      <c r="A160" s="507" t="s">
        <v>144</v>
      </c>
      <c r="B160" s="429" t="s">
        <v>143</v>
      </c>
      <c r="C160" s="851">
        <f>D160+K160+L160</f>
        <v>150000</v>
      </c>
      <c r="D160" s="851">
        <f>E160+F160+G160+H160+I160+J160</f>
        <v>0</v>
      </c>
      <c r="E160" s="880"/>
      <c r="F160" s="880"/>
      <c r="G160" s="880"/>
      <c r="H160" s="880"/>
      <c r="I160" s="880"/>
      <c r="J160" s="880"/>
      <c r="K160" s="880"/>
      <c r="L160" s="880">
        <v>150000</v>
      </c>
    </row>
    <row r="161" spans="1:12" ht="15" hidden="1">
      <c r="A161" s="507" t="s">
        <v>146</v>
      </c>
      <c r="B161" s="429" t="s">
        <v>145</v>
      </c>
      <c r="C161" s="851">
        <f>SUM(D161,K161,L161)</f>
        <v>0</v>
      </c>
      <c r="D161" s="851">
        <f>SUM(E161:J161)</f>
        <v>0</v>
      </c>
      <c r="E161" s="880"/>
      <c r="F161" s="880"/>
      <c r="G161" s="880"/>
      <c r="H161" s="880"/>
      <c r="I161" s="880"/>
      <c r="J161" s="880"/>
      <c r="K161" s="880"/>
      <c r="L161" s="880"/>
    </row>
    <row r="162" spans="1:12" ht="25.5" hidden="1">
      <c r="A162" s="507" t="s">
        <v>148</v>
      </c>
      <c r="B162" s="431" t="s">
        <v>147</v>
      </c>
      <c r="C162" s="851">
        <f>SUM(D162,K162,L162)</f>
        <v>0</v>
      </c>
      <c r="D162" s="851">
        <f>SUM(E162:J162)</f>
        <v>0</v>
      </c>
      <c r="E162" s="880"/>
      <c r="F162" s="880"/>
      <c r="G162" s="880"/>
      <c r="H162" s="880"/>
      <c r="I162" s="880"/>
      <c r="J162" s="880"/>
      <c r="K162" s="880"/>
      <c r="L162" s="880"/>
    </row>
    <row r="163" spans="1:12" ht="15" hidden="1">
      <c r="A163" s="507" t="s">
        <v>185</v>
      </c>
      <c r="B163" s="429" t="s">
        <v>149</v>
      </c>
      <c r="C163" s="851">
        <f>SUM(D163,K163,L163)</f>
        <v>0</v>
      </c>
      <c r="D163" s="851">
        <f>SUM(E163:J163)</f>
        <v>0</v>
      </c>
      <c r="E163" s="880"/>
      <c r="F163" s="880"/>
      <c r="G163" s="880"/>
      <c r="H163" s="880"/>
      <c r="I163" s="880"/>
      <c r="J163" s="880"/>
      <c r="K163" s="880"/>
      <c r="L163" s="880"/>
    </row>
    <row r="164" spans="1:12" ht="12.75" customHeight="1" hidden="1">
      <c r="A164" s="508" t="s">
        <v>52</v>
      </c>
      <c r="B164" s="394" t="s">
        <v>150</v>
      </c>
      <c r="C164" s="853">
        <f>C149-C152-C155</f>
        <v>3592994</v>
      </c>
      <c r="D164" s="853">
        <f>SUM(E164:J164)</f>
        <v>373278</v>
      </c>
      <c r="E164" s="853">
        <f>E154-E155</f>
        <v>140633</v>
      </c>
      <c r="F164" s="853">
        <f aca="true" t="shared" si="36" ref="F164:K164">F154-F155</f>
        <v>0</v>
      </c>
      <c r="G164" s="853">
        <f t="shared" si="36"/>
        <v>100307</v>
      </c>
      <c r="H164" s="853">
        <f t="shared" si="36"/>
        <v>0</v>
      </c>
      <c r="I164" s="853">
        <f t="shared" si="36"/>
        <v>132338</v>
      </c>
      <c r="J164" s="853">
        <f t="shared" si="36"/>
        <v>0</v>
      </c>
      <c r="K164" s="853">
        <f t="shared" si="36"/>
        <v>0</v>
      </c>
      <c r="L164" s="853">
        <f>L154-L155</f>
        <v>3219716</v>
      </c>
    </row>
    <row r="165" spans="1:12" ht="25.5" hidden="1">
      <c r="A165" s="534" t="s">
        <v>538</v>
      </c>
      <c r="B165" s="488" t="s">
        <v>213</v>
      </c>
      <c r="C165" s="532">
        <f>(C156+C157+C158)/C155</f>
        <v>0.5536266807195852</v>
      </c>
      <c r="D165" s="532">
        <f aca="true" t="shared" si="37" ref="D165:L165">(D156+D157+D158)/D155</f>
        <v>0.9695133691630251</v>
      </c>
      <c r="E165" s="533">
        <f t="shared" si="37"/>
        <v>0.961265179059433</v>
      </c>
      <c r="F165" s="533" t="e">
        <f t="shared" si="37"/>
        <v>#DIV/0!</v>
      </c>
      <c r="G165" s="533">
        <f t="shared" si="37"/>
        <v>0.9476709781046581</v>
      </c>
      <c r="H165" s="533">
        <f t="shared" si="37"/>
        <v>1</v>
      </c>
      <c r="I165" s="533">
        <f t="shared" si="37"/>
        <v>1</v>
      </c>
      <c r="J165" s="533">
        <f t="shared" si="37"/>
        <v>1</v>
      </c>
      <c r="K165" s="533" t="e">
        <f t="shared" si="37"/>
        <v>#DIV/0!</v>
      </c>
      <c r="L165" s="533">
        <f t="shared" si="37"/>
        <v>0.4437639977023174</v>
      </c>
    </row>
    <row r="166" ht="0.75" customHeight="1" hidden="1"/>
    <row r="167" ht="19.5" customHeight="1" hidden="1"/>
    <row r="168" ht="19.5" customHeight="1" hidden="1">
      <c r="B168" s="477" t="s">
        <v>746</v>
      </c>
    </row>
    <row r="169" spans="1:12" ht="19.5" customHeight="1" hidden="1">
      <c r="A169" s="1282" t="s">
        <v>70</v>
      </c>
      <c r="B169" s="1283"/>
      <c r="C169" s="1651" t="s">
        <v>37</v>
      </c>
      <c r="D169" s="1634" t="s">
        <v>337</v>
      </c>
      <c r="E169" s="1634"/>
      <c r="F169" s="1634"/>
      <c r="G169" s="1634"/>
      <c r="H169" s="1634"/>
      <c r="I169" s="1634"/>
      <c r="J169" s="1634"/>
      <c r="K169" s="1634"/>
      <c r="L169" s="1634"/>
    </row>
    <row r="170" spans="1:12" ht="15" hidden="1">
      <c r="A170" s="1284"/>
      <c r="B170" s="1285"/>
      <c r="C170" s="1651"/>
      <c r="D170" s="1635" t="s">
        <v>205</v>
      </c>
      <c r="E170" s="1636"/>
      <c r="F170" s="1636"/>
      <c r="G170" s="1636"/>
      <c r="H170" s="1636"/>
      <c r="I170" s="1636"/>
      <c r="J170" s="1637"/>
      <c r="K170" s="1638" t="s">
        <v>206</v>
      </c>
      <c r="L170" s="1638" t="s">
        <v>207</v>
      </c>
    </row>
    <row r="171" spans="1:12" ht="15" hidden="1">
      <c r="A171" s="1284"/>
      <c r="B171" s="1285"/>
      <c r="C171" s="1651"/>
      <c r="D171" s="1643" t="s">
        <v>36</v>
      </c>
      <c r="E171" s="1644" t="s">
        <v>7</v>
      </c>
      <c r="F171" s="1645"/>
      <c r="G171" s="1645"/>
      <c r="H171" s="1645"/>
      <c r="I171" s="1645"/>
      <c r="J171" s="1646"/>
      <c r="K171" s="1639"/>
      <c r="L171" s="1641"/>
    </row>
    <row r="172" spans="1:12" ht="15" hidden="1">
      <c r="A172" s="1649"/>
      <c r="B172" s="1650"/>
      <c r="C172" s="1651"/>
      <c r="D172" s="1643"/>
      <c r="E172" s="551" t="s">
        <v>208</v>
      </c>
      <c r="F172" s="551" t="s">
        <v>209</v>
      </c>
      <c r="G172" s="551" t="s">
        <v>210</v>
      </c>
      <c r="H172" s="551" t="s">
        <v>211</v>
      </c>
      <c r="I172" s="551" t="s">
        <v>344</v>
      </c>
      <c r="J172" s="551" t="s">
        <v>212</v>
      </c>
      <c r="K172" s="1640"/>
      <c r="L172" s="1642"/>
    </row>
    <row r="173" spans="1:12" ht="15" hidden="1">
      <c r="A173" s="1647" t="s">
        <v>6</v>
      </c>
      <c r="B173" s="1648"/>
      <c r="C173" s="481">
        <v>1</v>
      </c>
      <c r="D173" s="482">
        <v>2</v>
      </c>
      <c r="E173" s="481">
        <v>3</v>
      </c>
      <c r="F173" s="482">
        <v>4</v>
      </c>
      <c r="G173" s="481">
        <v>5</v>
      </c>
      <c r="H173" s="482">
        <v>6</v>
      </c>
      <c r="I173" s="481">
        <v>7</v>
      </c>
      <c r="J173" s="482">
        <v>8</v>
      </c>
      <c r="K173" s="481">
        <v>9</v>
      </c>
      <c r="L173" s="482">
        <v>10</v>
      </c>
    </row>
    <row r="174" spans="1:12" ht="15" customHeight="1" hidden="1">
      <c r="A174" s="506" t="s">
        <v>0</v>
      </c>
      <c r="B174" s="427" t="s">
        <v>130</v>
      </c>
      <c r="C174" s="852">
        <f>D174+K174+L174</f>
        <v>6465687</v>
      </c>
      <c r="D174" s="852">
        <f>E174+F174+G174+H174+I174+J174</f>
        <v>1178780</v>
      </c>
      <c r="E174" s="852">
        <f aca="true" t="shared" si="38" ref="E174:L174">E175+E176</f>
        <v>245259</v>
      </c>
      <c r="F174" s="852">
        <f t="shared" si="38"/>
        <v>0</v>
      </c>
      <c r="G174" s="852">
        <f t="shared" si="38"/>
        <v>434428</v>
      </c>
      <c r="H174" s="852">
        <f t="shared" si="38"/>
        <v>68868</v>
      </c>
      <c r="I174" s="852">
        <f t="shared" si="38"/>
        <v>238076</v>
      </c>
      <c r="J174" s="852">
        <f t="shared" si="38"/>
        <v>192149</v>
      </c>
      <c r="K174" s="852">
        <f t="shared" si="38"/>
        <v>210816</v>
      </c>
      <c r="L174" s="852">
        <f t="shared" si="38"/>
        <v>5076091</v>
      </c>
    </row>
    <row r="175" spans="1:12" ht="15" hidden="1">
      <c r="A175" s="507">
        <v>1</v>
      </c>
      <c r="B175" s="429" t="s">
        <v>131</v>
      </c>
      <c r="C175" s="851">
        <f>SUM(D175,K175,L175)</f>
        <v>4446120</v>
      </c>
      <c r="D175" s="851">
        <f>SUM(E175:J175)</f>
        <v>706478</v>
      </c>
      <c r="E175" s="808">
        <v>126352</v>
      </c>
      <c r="F175" s="808"/>
      <c r="G175" s="808">
        <v>316272</v>
      </c>
      <c r="H175" s="808">
        <v>32000</v>
      </c>
      <c r="I175" s="808">
        <v>231854</v>
      </c>
      <c r="J175" s="808">
        <v>0</v>
      </c>
      <c r="K175" s="808">
        <v>210816</v>
      </c>
      <c r="L175" s="808">
        <v>3528826</v>
      </c>
    </row>
    <row r="176" spans="1:19" ht="15" hidden="1">
      <c r="A176" s="507">
        <v>2</v>
      </c>
      <c r="B176" s="429" t="s">
        <v>132</v>
      </c>
      <c r="C176" s="851">
        <f>SUM(D176,K176,L176)</f>
        <v>2019567</v>
      </c>
      <c r="D176" s="851">
        <f>SUM(E176:J176)</f>
        <v>472302</v>
      </c>
      <c r="E176" s="809">
        <v>118907</v>
      </c>
      <c r="F176" s="809"/>
      <c r="G176" s="809">
        <v>118156</v>
      </c>
      <c r="H176" s="809">
        <v>36868</v>
      </c>
      <c r="I176" s="809">
        <v>6222</v>
      </c>
      <c r="J176" s="809">
        <v>192149</v>
      </c>
      <c r="K176" s="809"/>
      <c r="L176" s="1128">
        <v>1547265</v>
      </c>
      <c r="S176" s="923"/>
    </row>
    <row r="177" spans="1:12" ht="15" hidden="1">
      <c r="A177" s="508" t="s">
        <v>1</v>
      </c>
      <c r="B177" s="394" t="s">
        <v>133</v>
      </c>
      <c r="C177" s="851">
        <f>SUM(D177,K177,L177)</f>
        <v>14050</v>
      </c>
      <c r="D177" s="851">
        <f>SUM(E177:J177)</f>
        <v>14050</v>
      </c>
      <c r="E177" s="810">
        <v>2050</v>
      </c>
      <c r="F177" s="810"/>
      <c r="G177" s="810">
        <v>12000</v>
      </c>
      <c r="H177" s="810"/>
      <c r="I177" s="810"/>
      <c r="J177" s="810"/>
      <c r="K177" s="810"/>
      <c r="L177" s="810"/>
    </row>
    <row r="178" spans="1:12" ht="15" hidden="1">
      <c r="A178" s="508" t="s">
        <v>9</v>
      </c>
      <c r="B178" s="394" t="s">
        <v>134</v>
      </c>
      <c r="C178" s="851">
        <f>SUM(D178,K178,L178)</f>
        <v>0</v>
      </c>
      <c r="D178" s="851">
        <f>SUM(E178:J178)</f>
        <v>0</v>
      </c>
      <c r="E178" s="811">
        <v>0</v>
      </c>
      <c r="F178" s="811"/>
      <c r="G178" s="811">
        <v>0</v>
      </c>
      <c r="H178" s="811">
        <v>0</v>
      </c>
      <c r="I178" s="811"/>
      <c r="J178" s="811"/>
      <c r="K178" s="811"/>
      <c r="L178" s="811">
        <v>0</v>
      </c>
    </row>
    <row r="179" spans="1:12" ht="15" hidden="1">
      <c r="A179" s="508" t="s">
        <v>135</v>
      </c>
      <c r="B179" s="394" t="s">
        <v>136</v>
      </c>
      <c r="C179" s="853">
        <f>SUM(D179,K179,L179)</f>
        <v>6451637</v>
      </c>
      <c r="D179" s="853">
        <f>SUM(E179:J179)</f>
        <v>1164730</v>
      </c>
      <c r="E179" s="854">
        <f aca="true" t="shared" si="39" ref="E179:L179">E174-SUM(E177,E178)</f>
        <v>243209</v>
      </c>
      <c r="F179" s="854">
        <f t="shared" si="39"/>
        <v>0</v>
      </c>
      <c r="G179" s="854">
        <f t="shared" si="39"/>
        <v>422428</v>
      </c>
      <c r="H179" s="855">
        <f t="shared" si="39"/>
        <v>68868</v>
      </c>
      <c r="I179" s="854">
        <f t="shared" si="39"/>
        <v>238076</v>
      </c>
      <c r="J179" s="854">
        <f t="shared" si="39"/>
        <v>192149</v>
      </c>
      <c r="K179" s="854">
        <f t="shared" si="39"/>
        <v>210816</v>
      </c>
      <c r="L179" s="854">
        <f t="shared" si="39"/>
        <v>5076091</v>
      </c>
    </row>
    <row r="180" spans="1:12" ht="15" hidden="1">
      <c r="A180" s="508" t="s">
        <v>51</v>
      </c>
      <c r="B180" s="430" t="s">
        <v>137</v>
      </c>
      <c r="C180" s="853">
        <f>C181+C182+C183+C184+C185+C186+C187+C188</f>
        <v>3455752</v>
      </c>
      <c r="D180" s="853">
        <f aca="true" t="shared" si="40" ref="D180:L180">D181+D182+D183+D184+D185+D186+D187+D188</f>
        <v>543773</v>
      </c>
      <c r="E180" s="853">
        <f t="shared" si="40"/>
        <v>158419</v>
      </c>
      <c r="F180" s="853">
        <f t="shared" si="40"/>
        <v>0</v>
      </c>
      <c r="G180" s="853">
        <f t="shared" si="40"/>
        <v>157098</v>
      </c>
      <c r="H180" s="853">
        <f t="shared" si="40"/>
        <v>34490</v>
      </c>
      <c r="I180" s="853">
        <f t="shared" si="40"/>
        <v>9768</v>
      </c>
      <c r="J180" s="853">
        <f t="shared" si="40"/>
        <v>183998</v>
      </c>
      <c r="K180" s="853">
        <f t="shared" si="40"/>
        <v>2929</v>
      </c>
      <c r="L180" s="853">
        <f t="shared" si="40"/>
        <v>2909050</v>
      </c>
    </row>
    <row r="181" spans="1:12" ht="15" hidden="1">
      <c r="A181" s="507" t="s">
        <v>53</v>
      </c>
      <c r="B181" s="429" t="s">
        <v>138</v>
      </c>
      <c r="C181" s="858">
        <f>SUM(D181,K181,L181)</f>
        <v>1157181</v>
      </c>
      <c r="D181" s="858">
        <f>SUM(E181:J181)</f>
        <v>385614</v>
      </c>
      <c r="E181" s="809">
        <v>101904</v>
      </c>
      <c r="F181" s="809"/>
      <c r="G181" s="809">
        <v>77032</v>
      </c>
      <c r="H181" s="809">
        <v>34490</v>
      </c>
      <c r="I181" s="809">
        <v>3150</v>
      </c>
      <c r="J181" s="809">
        <v>169038</v>
      </c>
      <c r="K181" s="809"/>
      <c r="L181" s="809">
        <v>771567</v>
      </c>
    </row>
    <row r="182" spans="1:12" ht="15" hidden="1">
      <c r="A182" s="507" t="s">
        <v>54</v>
      </c>
      <c r="B182" s="429" t="s">
        <v>139</v>
      </c>
      <c r="C182" s="851">
        <f>SUM(D182,K182,L182)</f>
        <v>180576</v>
      </c>
      <c r="D182" s="851">
        <f>SUM(E182:J182)</f>
        <v>50395</v>
      </c>
      <c r="E182" s="809">
        <v>2960</v>
      </c>
      <c r="F182" s="809"/>
      <c r="G182" s="809">
        <v>46838</v>
      </c>
      <c r="H182" s="809"/>
      <c r="I182" s="809">
        <v>596</v>
      </c>
      <c r="J182" s="809">
        <v>1</v>
      </c>
      <c r="K182" s="809"/>
      <c r="L182" s="809">
        <v>130181</v>
      </c>
    </row>
    <row r="183" spans="1:12" ht="15" hidden="1">
      <c r="A183" s="507" t="s">
        <v>140</v>
      </c>
      <c r="B183" s="429" t="s">
        <v>201</v>
      </c>
      <c r="C183" s="851">
        <f>SUM(D183,K183,L183)</f>
        <v>9226</v>
      </c>
      <c r="D183" s="851">
        <f>SUM(E183:J183)</f>
        <v>9226</v>
      </c>
      <c r="E183" s="809"/>
      <c r="F183" s="809"/>
      <c r="G183" s="809">
        <v>3684</v>
      </c>
      <c r="H183" s="809"/>
      <c r="I183" s="809">
        <v>5542</v>
      </c>
      <c r="J183" s="809"/>
      <c r="K183" s="809"/>
      <c r="L183" s="809"/>
    </row>
    <row r="184" spans="1:12" ht="17.25" customHeight="1" hidden="1">
      <c r="A184" s="507" t="s">
        <v>142</v>
      </c>
      <c r="B184" s="429" t="s">
        <v>141</v>
      </c>
      <c r="C184" s="858">
        <f>SUM(D184,K184,L184)</f>
        <v>2108769</v>
      </c>
      <c r="D184" s="858">
        <f>SUM(E184:J184)</f>
        <v>98538</v>
      </c>
      <c r="E184" s="809">
        <v>53555</v>
      </c>
      <c r="F184" s="809"/>
      <c r="G184" s="809">
        <v>29544</v>
      </c>
      <c r="H184" s="809">
        <v>0</v>
      </c>
      <c r="I184" s="809">
        <v>480</v>
      </c>
      <c r="J184" s="809">
        <v>14959</v>
      </c>
      <c r="K184" s="809">
        <v>2929</v>
      </c>
      <c r="L184" s="809">
        <v>2007302</v>
      </c>
    </row>
    <row r="185" spans="1:12" ht="15" hidden="1">
      <c r="A185" s="507" t="s">
        <v>144</v>
      </c>
      <c r="B185" s="429" t="s">
        <v>143</v>
      </c>
      <c r="C185" s="851">
        <f>D185+K185+L185</f>
        <v>0</v>
      </c>
      <c r="D185" s="851">
        <f>E185+F185+G185+H185+I185+J185</f>
        <v>0</v>
      </c>
      <c r="E185" s="809"/>
      <c r="F185" s="809"/>
      <c r="G185" s="809"/>
      <c r="H185" s="809"/>
      <c r="I185" s="809"/>
      <c r="J185" s="809"/>
      <c r="K185" s="809"/>
      <c r="L185" s="809">
        <v>0</v>
      </c>
    </row>
    <row r="186" spans="1:12" ht="15" customHeight="1" hidden="1">
      <c r="A186" s="507" t="s">
        <v>146</v>
      </c>
      <c r="B186" s="429" t="s">
        <v>145</v>
      </c>
      <c r="C186" s="851">
        <f>SUM(D186,K186,L186)</f>
        <v>0</v>
      </c>
      <c r="D186" s="851">
        <f>SUM(E186:J186)</f>
        <v>0</v>
      </c>
      <c r="E186" s="809"/>
      <c r="F186" s="809"/>
      <c r="G186" s="809"/>
      <c r="H186" s="809"/>
      <c r="I186" s="809"/>
      <c r="J186" s="809"/>
      <c r="K186" s="809"/>
      <c r="L186" s="809"/>
    </row>
    <row r="187" spans="1:12" ht="18.75" customHeight="1" hidden="1">
      <c r="A187" s="507" t="s">
        <v>148</v>
      </c>
      <c r="B187" s="431" t="s">
        <v>147</v>
      </c>
      <c r="C187" s="851">
        <f>SUM(D187,K187,L187)</f>
        <v>0</v>
      </c>
      <c r="D187" s="851">
        <f>SUM(E187:J187)</f>
        <v>0</v>
      </c>
      <c r="E187" s="809"/>
      <c r="F187" s="809"/>
      <c r="G187" s="809"/>
      <c r="H187" s="809"/>
      <c r="I187" s="809"/>
      <c r="J187" s="809"/>
      <c r="K187" s="809"/>
      <c r="L187" s="809"/>
    </row>
    <row r="188" spans="1:12" ht="23.25" customHeight="1" hidden="1">
      <c r="A188" s="507" t="s">
        <v>185</v>
      </c>
      <c r="B188" s="431" t="s">
        <v>147</v>
      </c>
      <c r="C188" s="851">
        <f>SUM(D188,K188,L188)</f>
        <v>0</v>
      </c>
      <c r="D188" s="851">
        <f>SUM(E188:J188)</f>
        <v>0</v>
      </c>
      <c r="E188" s="880"/>
      <c r="F188" s="880"/>
      <c r="G188" s="880"/>
      <c r="H188" s="880"/>
      <c r="I188" s="880"/>
      <c r="J188" s="880"/>
      <c r="K188" s="880"/>
      <c r="L188" s="880"/>
    </row>
    <row r="189" spans="1:12" ht="42.75" customHeight="1" hidden="1">
      <c r="A189" s="508" t="s">
        <v>52</v>
      </c>
      <c r="B189" s="394" t="s">
        <v>150</v>
      </c>
      <c r="C189" s="853">
        <f>C174-C177-C180</f>
        <v>2995885</v>
      </c>
      <c r="D189" s="853">
        <f>SUM(E189:J189)</f>
        <v>620957</v>
      </c>
      <c r="E189" s="853">
        <f>E179-E180</f>
        <v>84790</v>
      </c>
      <c r="F189" s="853">
        <f aca="true" t="shared" si="41" ref="F189:K189">F179-F180</f>
        <v>0</v>
      </c>
      <c r="G189" s="853">
        <f t="shared" si="41"/>
        <v>265330</v>
      </c>
      <c r="H189" s="853">
        <f t="shared" si="41"/>
        <v>34378</v>
      </c>
      <c r="I189" s="853">
        <f t="shared" si="41"/>
        <v>228308</v>
      </c>
      <c r="J189" s="853">
        <f t="shared" si="41"/>
        <v>8151</v>
      </c>
      <c r="K189" s="853">
        <f t="shared" si="41"/>
        <v>207887</v>
      </c>
      <c r="L189" s="853">
        <f>L179-L180</f>
        <v>2167041</v>
      </c>
    </row>
    <row r="190" spans="1:12" ht="25.5" hidden="1">
      <c r="A190" s="534" t="s">
        <v>538</v>
      </c>
      <c r="B190" s="488" t="s">
        <v>213</v>
      </c>
      <c r="C190" s="532">
        <f>(C181+C182+C183)/C180</f>
        <v>0.3897799957867347</v>
      </c>
      <c r="D190" s="532">
        <f aca="true" t="shared" si="42" ref="D190:L190">(D181+D182+D183)/D180</f>
        <v>0.8187883546994794</v>
      </c>
      <c r="E190" s="533">
        <f t="shared" si="42"/>
        <v>0.661940802555249</v>
      </c>
      <c r="F190" s="533" t="e">
        <f t="shared" si="42"/>
        <v>#DIV/0!</v>
      </c>
      <c r="G190" s="533">
        <f t="shared" si="42"/>
        <v>0.8119390444181339</v>
      </c>
      <c r="H190" s="533">
        <f t="shared" si="42"/>
        <v>1</v>
      </c>
      <c r="I190" s="533">
        <f t="shared" si="42"/>
        <v>0.9508599508599509</v>
      </c>
      <c r="J190" s="533">
        <f t="shared" si="42"/>
        <v>0.918700203263079</v>
      </c>
      <c r="K190" s="533">
        <f t="shared" si="42"/>
        <v>0</v>
      </c>
      <c r="L190" s="533">
        <f t="shared" si="42"/>
        <v>0.309980234097042</v>
      </c>
    </row>
    <row r="191" ht="15" hidden="1"/>
    <row r="192" ht="15" hidden="1"/>
    <row r="193" ht="15" hidden="1">
      <c r="B193" s="866" t="s">
        <v>750</v>
      </c>
    </row>
    <row r="194" spans="1:12" ht="15" hidden="1">
      <c r="A194" s="1282" t="s">
        <v>70</v>
      </c>
      <c r="B194" s="1283"/>
      <c r="C194" s="1651" t="s">
        <v>37</v>
      </c>
      <c r="D194" s="1634" t="s">
        <v>337</v>
      </c>
      <c r="E194" s="1634"/>
      <c r="F194" s="1634"/>
      <c r="G194" s="1634"/>
      <c r="H194" s="1634"/>
      <c r="I194" s="1634"/>
      <c r="J194" s="1634"/>
      <c r="K194" s="1634"/>
      <c r="L194" s="1634"/>
    </row>
    <row r="195" spans="1:12" ht="15" hidden="1">
      <c r="A195" s="1284"/>
      <c r="B195" s="1285"/>
      <c r="C195" s="1651"/>
      <c r="D195" s="1635" t="s">
        <v>205</v>
      </c>
      <c r="E195" s="1636"/>
      <c r="F195" s="1636"/>
      <c r="G195" s="1636"/>
      <c r="H195" s="1636"/>
      <c r="I195" s="1636"/>
      <c r="J195" s="1637"/>
      <c r="K195" s="1638" t="s">
        <v>206</v>
      </c>
      <c r="L195" s="1638" t="s">
        <v>207</v>
      </c>
    </row>
    <row r="196" spans="1:12" ht="15" hidden="1">
      <c r="A196" s="1284"/>
      <c r="B196" s="1285"/>
      <c r="C196" s="1651"/>
      <c r="D196" s="1643" t="s">
        <v>36</v>
      </c>
      <c r="E196" s="1644" t="s">
        <v>7</v>
      </c>
      <c r="F196" s="1645"/>
      <c r="G196" s="1645"/>
      <c r="H196" s="1645"/>
      <c r="I196" s="1645"/>
      <c r="J196" s="1646"/>
      <c r="K196" s="1639"/>
      <c r="L196" s="1641"/>
    </row>
    <row r="197" spans="1:12" ht="15" hidden="1">
      <c r="A197" s="1649"/>
      <c r="B197" s="1650"/>
      <c r="C197" s="1651"/>
      <c r="D197" s="1643"/>
      <c r="E197" s="551" t="s">
        <v>208</v>
      </c>
      <c r="F197" s="551" t="s">
        <v>209</v>
      </c>
      <c r="G197" s="551" t="s">
        <v>210</v>
      </c>
      <c r="H197" s="551" t="s">
        <v>211</v>
      </c>
      <c r="I197" s="551" t="s">
        <v>344</v>
      </c>
      <c r="J197" s="551" t="s">
        <v>212</v>
      </c>
      <c r="K197" s="1640"/>
      <c r="L197" s="1642"/>
    </row>
    <row r="198" spans="1:12" ht="15" hidden="1">
      <c r="A198" s="1647" t="s">
        <v>6</v>
      </c>
      <c r="B198" s="1648"/>
      <c r="C198" s="481">
        <v>1</v>
      </c>
      <c r="D198" s="482">
        <v>2</v>
      </c>
      <c r="E198" s="481">
        <v>3</v>
      </c>
      <c r="F198" s="482">
        <v>4</v>
      </c>
      <c r="G198" s="481">
        <v>5</v>
      </c>
      <c r="H198" s="482">
        <v>6</v>
      </c>
      <c r="I198" s="481">
        <v>7</v>
      </c>
      <c r="J198" s="482">
        <v>8</v>
      </c>
      <c r="K198" s="481">
        <v>9</v>
      </c>
      <c r="L198" s="482">
        <v>10</v>
      </c>
    </row>
    <row r="199" spans="1:12" ht="12.75" customHeight="1" hidden="1">
      <c r="A199" s="506" t="s">
        <v>0</v>
      </c>
      <c r="B199" s="427" t="s">
        <v>130</v>
      </c>
      <c r="C199" s="852">
        <f>D199+K199+L199</f>
        <v>1757180</v>
      </c>
      <c r="D199" s="852">
        <f>E199+F199+G199+H199+I199+J199</f>
        <v>180431</v>
      </c>
      <c r="E199" s="852">
        <f aca="true" t="shared" si="43" ref="E199:L199">E200+E201</f>
        <v>69332</v>
      </c>
      <c r="F199" s="852">
        <f t="shared" si="43"/>
        <v>0</v>
      </c>
      <c r="G199" s="852">
        <f t="shared" si="43"/>
        <v>50075</v>
      </c>
      <c r="H199" s="852">
        <f t="shared" si="43"/>
        <v>23853</v>
      </c>
      <c r="I199" s="852">
        <f t="shared" si="43"/>
        <v>36971</v>
      </c>
      <c r="J199" s="852">
        <f t="shared" si="43"/>
        <v>200</v>
      </c>
      <c r="K199" s="852">
        <f t="shared" si="43"/>
        <v>0</v>
      </c>
      <c r="L199" s="852">
        <f t="shared" si="43"/>
        <v>1576749</v>
      </c>
    </row>
    <row r="200" spans="1:19" ht="15.75" hidden="1">
      <c r="A200" s="507">
        <v>1</v>
      </c>
      <c r="B200" s="429" t="s">
        <v>131</v>
      </c>
      <c r="C200" s="851">
        <f>SUM(D200,K200,L200)</f>
        <v>1051654</v>
      </c>
      <c r="D200" s="851">
        <f>SUM(E200:J200)</f>
        <v>93734</v>
      </c>
      <c r="E200" s="961">
        <v>27682</v>
      </c>
      <c r="F200" s="961"/>
      <c r="G200" s="961">
        <v>40558</v>
      </c>
      <c r="H200" s="961">
        <v>250</v>
      </c>
      <c r="I200" s="961">
        <v>25044</v>
      </c>
      <c r="J200" s="961">
        <v>200</v>
      </c>
      <c r="K200" s="961"/>
      <c r="L200" s="961">
        <v>957920</v>
      </c>
      <c r="M200" s="406">
        <f>'[12]03'!C202+'[12]04'!C202</f>
        <v>0</v>
      </c>
      <c r="N200" s="406">
        <f>C200-M200</f>
        <v>1051654</v>
      </c>
      <c r="O200" s="406">
        <f>'[12]07'!D201</f>
        <v>0</v>
      </c>
      <c r="P200" s="406">
        <f>C200-O200</f>
        <v>1051654</v>
      </c>
      <c r="Q200" s="400"/>
      <c r="R200" s="428"/>
      <c r="S200" s="487"/>
    </row>
    <row r="201" spans="1:19" ht="15.75" hidden="1">
      <c r="A201" s="507">
        <v>2</v>
      </c>
      <c r="B201" s="429" t="s">
        <v>132</v>
      </c>
      <c r="C201" s="851">
        <f>SUM(D201,K201,L201)</f>
        <v>705526</v>
      </c>
      <c r="D201" s="851">
        <f>SUM(E201:J201)</f>
        <v>86697</v>
      </c>
      <c r="E201" s="803">
        <v>41650</v>
      </c>
      <c r="F201" s="803">
        <v>0</v>
      </c>
      <c r="G201" s="803">
        <v>9517</v>
      </c>
      <c r="H201" s="803">
        <v>23603</v>
      </c>
      <c r="I201" s="803">
        <v>11927</v>
      </c>
      <c r="J201" s="803">
        <v>0</v>
      </c>
      <c r="K201" s="803"/>
      <c r="L201" s="803">
        <v>618829</v>
      </c>
      <c r="M201" s="406">
        <f>'[12]03'!C203+'[12]04'!C203</f>
        <v>0</v>
      </c>
      <c r="N201" s="406">
        <f>C201-M201</f>
        <v>705526</v>
      </c>
      <c r="O201" s="406">
        <f>'[12]07'!E201</f>
        <v>0</v>
      </c>
      <c r="P201" s="406">
        <f>C201-O201</f>
        <v>705526</v>
      </c>
      <c r="Q201" s="400"/>
      <c r="R201" s="428"/>
      <c r="S201" s="487"/>
    </row>
    <row r="202" spans="1:19" ht="18" customHeight="1" hidden="1">
      <c r="A202" s="508" t="s">
        <v>1</v>
      </c>
      <c r="B202" s="394" t="s">
        <v>133</v>
      </c>
      <c r="C202" s="851">
        <f>SUM(D202,K202,L202)</f>
        <v>400</v>
      </c>
      <c r="D202" s="851">
        <f>SUM(E202:J202)</f>
        <v>400</v>
      </c>
      <c r="E202" s="962">
        <v>400</v>
      </c>
      <c r="F202" s="962"/>
      <c r="G202" s="962">
        <v>0</v>
      </c>
      <c r="H202" s="962"/>
      <c r="I202" s="962"/>
      <c r="J202" s="962"/>
      <c r="K202" s="962"/>
      <c r="L202" s="962">
        <v>0</v>
      </c>
      <c r="M202" s="406">
        <f>'[12]03'!C204+'[12]04'!C204</f>
        <v>0</v>
      </c>
      <c r="N202" s="406">
        <f>C202-M202</f>
        <v>400</v>
      </c>
      <c r="O202" s="406">
        <f>'[12]07'!F201</f>
        <v>0</v>
      </c>
      <c r="P202" s="406">
        <f>C202-O202</f>
        <v>400</v>
      </c>
      <c r="Q202" s="390"/>
      <c r="R202" s="428"/>
      <c r="S202" s="487"/>
    </row>
    <row r="203" spans="1:12" ht="19.5" customHeight="1" hidden="1">
      <c r="A203" s="508" t="s">
        <v>9</v>
      </c>
      <c r="B203" s="394" t="s">
        <v>134</v>
      </c>
      <c r="C203" s="851">
        <f>SUM(D203,K203,L203)</f>
        <v>0</v>
      </c>
      <c r="D203" s="851">
        <f>SUM(E203:J203)</f>
        <v>0</v>
      </c>
      <c r="E203" s="811"/>
      <c r="F203" s="811"/>
      <c r="G203" s="811"/>
      <c r="H203" s="811"/>
      <c r="I203" s="811"/>
      <c r="J203" s="811"/>
      <c r="K203" s="811"/>
      <c r="L203" s="811"/>
    </row>
    <row r="204" spans="1:12" ht="18" customHeight="1" hidden="1">
      <c r="A204" s="508" t="s">
        <v>135</v>
      </c>
      <c r="B204" s="394" t="s">
        <v>136</v>
      </c>
      <c r="C204" s="853">
        <f>SUM(D204,K204,L204)</f>
        <v>1756780</v>
      </c>
      <c r="D204" s="853">
        <f>SUM(E204:J204)</f>
        <v>180031</v>
      </c>
      <c r="E204" s="854">
        <f aca="true" t="shared" si="44" ref="E204:L204">E199-SUM(E202,E203)</f>
        <v>68932</v>
      </c>
      <c r="F204" s="854">
        <f t="shared" si="44"/>
        <v>0</v>
      </c>
      <c r="G204" s="854">
        <f t="shared" si="44"/>
        <v>50075</v>
      </c>
      <c r="H204" s="855">
        <f t="shared" si="44"/>
        <v>23853</v>
      </c>
      <c r="I204" s="854">
        <f t="shared" si="44"/>
        <v>36971</v>
      </c>
      <c r="J204" s="854">
        <f t="shared" si="44"/>
        <v>200</v>
      </c>
      <c r="K204" s="854">
        <f t="shared" si="44"/>
        <v>0</v>
      </c>
      <c r="L204" s="854">
        <f t="shared" si="44"/>
        <v>1576749</v>
      </c>
    </row>
    <row r="205" spans="1:12" ht="18" customHeight="1" hidden="1">
      <c r="A205" s="508" t="s">
        <v>51</v>
      </c>
      <c r="B205" s="430" t="s">
        <v>137</v>
      </c>
      <c r="C205" s="853">
        <f>C206+C207+C208+C209+C210+C211+C212+C213</f>
        <v>801775</v>
      </c>
      <c r="D205" s="853">
        <f aca="true" t="shared" si="45" ref="D205:L205">D206+D207+D208+D209+D210+D211+D212+D213</f>
        <v>109467</v>
      </c>
      <c r="E205" s="853">
        <f t="shared" si="45"/>
        <v>42970</v>
      </c>
      <c r="F205" s="853">
        <f t="shared" si="45"/>
        <v>0</v>
      </c>
      <c r="G205" s="853">
        <f t="shared" si="45"/>
        <v>24417</v>
      </c>
      <c r="H205" s="853">
        <f t="shared" si="45"/>
        <v>23503</v>
      </c>
      <c r="I205" s="853">
        <f t="shared" si="45"/>
        <v>18577</v>
      </c>
      <c r="J205" s="853">
        <f t="shared" si="45"/>
        <v>0</v>
      </c>
      <c r="K205" s="853">
        <f t="shared" si="45"/>
        <v>0</v>
      </c>
      <c r="L205" s="853">
        <f t="shared" si="45"/>
        <v>692308</v>
      </c>
    </row>
    <row r="206" spans="1:12" ht="15.75" hidden="1">
      <c r="A206" s="507" t="s">
        <v>53</v>
      </c>
      <c r="B206" s="429" t="s">
        <v>138</v>
      </c>
      <c r="C206" s="858">
        <f>SUM(D206,K206,L206)</f>
        <v>187996</v>
      </c>
      <c r="D206" s="858">
        <f>SUM(E206:J206)</f>
        <v>87182</v>
      </c>
      <c r="E206" s="803">
        <v>25640</v>
      </c>
      <c r="F206" s="803">
        <v>0</v>
      </c>
      <c r="G206" s="803">
        <v>24417</v>
      </c>
      <c r="H206" s="803">
        <v>23048</v>
      </c>
      <c r="I206" s="803">
        <v>14077</v>
      </c>
      <c r="J206" s="803">
        <v>0</v>
      </c>
      <c r="K206" s="803"/>
      <c r="L206" s="803">
        <v>100814</v>
      </c>
    </row>
    <row r="207" spans="1:12" ht="15.75" hidden="1">
      <c r="A207" s="507" t="s">
        <v>54</v>
      </c>
      <c r="B207" s="429" t="s">
        <v>139</v>
      </c>
      <c r="C207" s="851">
        <f>SUM(D207,K207,L207)</f>
        <v>3409</v>
      </c>
      <c r="D207" s="851">
        <f>SUM(E207:J207)</f>
        <v>0</v>
      </c>
      <c r="E207" s="803">
        <v>0</v>
      </c>
      <c r="F207" s="803"/>
      <c r="G207" s="803">
        <v>0</v>
      </c>
      <c r="H207" s="803"/>
      <c r="I207" s="803">
        <v>0</v>
      </c>
      <c r="J207" s="803"/>
      <c r="K207" s="803"/>
      <c r="L207" s="803">
        <v>3409</v>
      </c>
    </row>
    <row r="208" spans="1:12" ht="15.75" hidden="1">
      <c r="A208" s="507" t="s">
        <v>140</v>
      </c>
      <c r="B208" s="429" t="s">
        <v>201</v>
      </c>
      <c r="C208" s="851">
        <f>SUM(D208,K208,L208)</f>
        <v>0</v>
      </c>
      <c r="D208" s="851">
        <f>SUM(E208:J208)</f>
        <v>0</v>
      </c>
      <c r="E208" s="803"/>
      <c r="F208" s="803"/>
      <c r="G208" s="803">
        <v>0</v>
      </c>
      <c r="H208" s="803"/>
      <c r="I208" s="803">
        <v>0</v>
      </c>
      <c r="J208" s="803"/>
      <c r="K208" s="803"/>
      <c r="L208" s="803"/>
    </row>
    <row r="209" spans="1:12" ht="15.75" hidden="1">
      <c r="A209" s="507" t="s">
        <v>142</v>
      </c>
      <c r="B209" s="429" t="s">
        <v>141</v>
      </c>
      <c r="C209" s="858">
        <f>SUM(D209,K209,L209)</f>
        <v>610370</v>
      </c>
      <c r="D209" s="858">
        <f>SUM(E209:J209)</f>
        <v>22285</v>
      </c>
      <c r="E209" s="803">
        <v>17330</v>
      </c>
      <c r="F209" s="803"/>
      <c r="G209" s="803">
        <v>0</v>
      </c>
      <c r="H209" s="803">
        <v>455</v>
      </c>
      <c r="I209" s="803">
        <v>4500</v>
      </c>
      <c r="J209" s="803">
        <v>0</v>
      </c>
      <c r="K209" s="803"/>
      <c r="L209" s="803">
        <v>588085</v>
      </c>
    </row>
    <row r="210" spans="1:12" ht="15.75" hidden="1">
      <c r="A210" s="507" t="s">
        <v>144</v>
      </c>
      <c r="B210" s="429" t="s">
        <v>143</v>
      </c>
      <c r="C210" s="851">
        <f>D210+K210+L210</f>
        <v>0</v>
      </c>
      <c r="D210" s="851">
        <f>E210+F210+G210+H210+I210+J210</f>
        <v>0</v>
      </c>
      <c r="E210" s="803"/>
      <c r="F210" s="803"/>
      <c r="G210" s="803"/>
      <c r="H210" s="803"/>
      <c r="I210" s="803"/>
      <c r="J210" s="803"/>
      <c r="K210" s="803"/>
      <c r="L210" s="803"/>
    </row>
    <row r="211" spans="1:12" ht="15.75" hidden="1">
      <c r="A211" s="507" t="s">
        <v>146</v>
      </c>
      <c r="B211" s="429" t="s">
        <v>145</v>
      </c>
      <c r="C211" s="851">
        <f>SUM(D211,K211,L211)</f>
        <v>0</v>
      </c>
      <c r="D211" s="851">
        <f>SUM(E211:J211)</f>
        <v>0</v>
      </c>
      <c r="E211" s="803"/>
      <c r="F211" s="803"/>
      <c r="G211" s="803"/>
      <c r="H211" s="803"/>
      <c r="I211" s="803"/>
      <c r="J211" s="803"/>
      <c r="K211" s="803"/>
      <c r="L211" s="803"/>
    </row>
    <row r="212" spans="1:12" ht="25.5" hidden="1">
      <c r="A212" s="507" t="s">
        <v>148</v>
      </c>
      <c r="B212" s="431" t="s">
        <v>147</v>
      </c>
      <c r="C212" s="851">
        <f>SUM(D212,K212,L212)</f>
        <v>0</v>
      </c>
      <c r="D212" s="851">
        <f>SUM(E212:J212)</f>
        <v>0</v>
      </c>
      <c r="E212" s="803"/>
      <c r="F212" s="803"/>
      <c r="G212" s="803"/>
      <c r="H212" s="803"/>
      <c r="I212" s="803"/>
      <c r="J212" s="803"/>
      <c r="K212" s="803"/>
      <c r="L212" s="803"/>
    </row>
    <row r="213" spans="1:12" ht="20.25" customHeight="1" hidden="1">
      <c r="A213" s="507" t="s">
        <v>185</v>
      </c>
      <c r="B213" s="429" t="s">
        <v>149</v>
      </c>
      <c r="C213" s="851">
        <f>SUM(D213,K213,L213)</f>
        <v>0</v>
      </c>
      <c r="D213" s="851">
        <f>SUM(E213:J213)</f>
        <v>0</v>
      </c>
      <c r="E213" s="962"/>
      <c r="F213" s="962"/>
      <c r="G213" s="962"/>
      <c r="H213" s="962"/>
      <c r="I213" s="962"/>
      <c r="J213" s="962"/>
      <c r="K213" s="962"/>
      <c r="L213" s="962"/>
    </row>
    <row r="214" spans="1:12" ht="15" hidden="1">
      <c r="A214" s="508" t="s">
        <v>52</v>
      </c>
      <c r="B214" s="394" t="s">
        <v>150</v>
      </c>
      <c r="C214" s="853">
        <f>C199-C202-C205</f>
        <v>955005</v>
      </c>
      <c r="D214" s="853">
        <f>SUM(E214:J214)</f>
        <v>70564</v>
      </c>
      <c r="E214" s="853">
        <f>E204-E205</f>
        <v>25962</v>
      </c>
      <c r="F214" s="853">
        <f aca="true" t="shared" si="46" ref="F214:K214">F204-F205</f>
        <v>0</v>
      </c>
      <c r="G214" s="853">
        <f t="shared" si="46"/>
        <v>25658</v>
      </c>
      <c r="H214" s="853">
        <f t="shared" si="46"/>
        <v>350</v>
      </c>
      <c r="I214" s="853">
        <f t="shared" si="46"/>
        <v>18394</v>
      </c>
      <c r="J214" s="853">
        <f t="shared" si="46"/>
        <v>200</v>
      </c>
      <c r="K214" s="853">
        <f t="shared" si="46"/>
        <v>0</v>
      </c>
      <c r="L214" s="853">
        <f>L204-L205</f>
        <v>884441</v>
      </c>
    </row>
    <row r="215" spans="1:12" ht="25.5" hidden="1">
      <c r="A215" s="534" t="s">
        <v>538</v>
      </c>
      <c r="B215" s="488" t="s">
        <v>213</v>
      </c>
      <c r="C215" s="532">
        <f>(C206+C207+C208)/C205</f>
        <v>0.23872657541080727</v>
      </c>
      <c r="D215" s="532">
        <f aca="true" t="shared" si="47" ref="D215:L215">(D206+D207+D208)/D205</f>
        <v>0.7964226661916377</v>
      </c>
      <c r="E215" s="533">
        <f t="shared" si="47"/>
        <v>0.5966953688619967</v>
      </c>
      <c r="F215" s="533" t="e">
        <f t="shared" si="47"/>
        <v>#DIV/0!</v>
      </c>
      <c r="G215" s="533">
        <f t="shared" si="47"/>
        <v>1</v>
      </c>
      <c r="H215" s="533">
        <f t="shared" si="47"/>
        <v>0.9806407692634983</v>
      </c>
      <c r="I215" s="533">
        <f t="shared" si="47"/>
        <v>0.757764978198848</v>
      </c>
      <c r="J215" s="533" t="e">
        <f t="shared" si="47"/>
        <v>#DIV/0!</v>
      </c>
      <c r="K215" s="533" t="e">
        <f t="shared" si="47"/>
        <v>#DIV/0!</v>
      </c>
      <c r="L215" s="533">
        <f t="shared" si="47"/>
        <v>0.15054426642477048</v>
      </c>
    </row>
    <row r="216" ht="15" hidden="1"/>
    <row r="217" ht="15" hidden="1"/>
    <row r="218" ht="15" hidden="1">
      <c r="B218" s="477" t="s">
        <v>736</v>
      </c>
    </row>
    <row r="219" spans="1:12" ht="15" hidden="1">
      <c r="A219" s="1282" t="s">
        <v>70</v>
      </c>
      <c r="B219" s="1283"/>
      <c r="C219" s="1651" t="s">
        <v>37</v>
      </c>
      <c r="D219" s="1634" t="s">
        <v>337</v>
      </c>
      <c r="E219" s="1634"/>
      <c r="F219" s="1634"/>
      <c r="G219" s="1634"/>
      <c r="H219" s="1634"/>
      <c r="I219" s="1634"/>
      <c r="J219" s="1634"/>
      <c r="K219" s="1634"/>
      <c r="L219" s="1634"/>
    </row>
    <row r="220" spans="1:12" ht="15" hidden="1">
      <c r="A220" s="1284"/>
      <c r="B220" s="1285"/>
      <c r="C220" s="1651"/>
      <c r="D220" s="1635" t="s">
        <v>205</v>
      </c>
      <c r="E220" s="1636"/>
      <c r="F220" s="1636"/>
      <c r="G220" s="1636"/>
      <c r="H220" s="1636"/>
      <c r="I220" s="1636"/>
      <c r="J220" s="1637"/>
      <c r="K220" s="1638" t="s">
        <v>206</v>
      </c>
      <c r="L220" s="1638" t="s">
        <v>207</v>
      </c>
    </row>
    <row r="221" spans="1:12" ht="15" hidden="1">
      <c r="A221" s="1284"/>
      <c r="B221" s="1285"/>
      <c r="C221" s="1651"/>
      <c r="D221" s="1643" t="s">
        <v>36</v>
      </c>
      <c r="E221" s="1644" t="s">
        <v>7</v>
      </c>
      <c r="F221" s="1645"/>
      <c r="G221" s="1645"/>
      <c r="H221" s="1645"/>
      <c r="I221" s="1645"/>
      <c r="J221" s="1646"/>
      <c r="K221" s="1639"/>
      <c r="L221" s="1641"/>
    </row>
    <row r="222" spans="1:12" ht="15" hidden="1">
      <c r="A222" s="1649"/>
      <c r="B222" s="1650"/>
      <c r="C222" s="1651"/>
      <c r="D222" s="1643"/>
      <c r="E222" s="551" t="s">
        <v>208</v>
      </c>
      <c r="F222" s="551" t="s">
        <v>209</v>
      </c>
      <c r="G222" s="551" t="s">
        <v>210</v>
      </c>
      <c r="H222" s="551" t="s">
        <v>211</v>
      </c>
      <c r="I222" s="551" t="s">
        <v>344</v>
      </c>
      <c r="J222" s="551" t="s">
        <v>212</v>
      </c>
      <c r="K222" s="1640"/>
      <c r="L222" s="1642"/>
    </row>
    <row r="223" spans="1:12" ht="15" hidden="1">
      <c r="A223" s="1647" t="s">
        <v>6</v>
      </c>
      <c r="B223" s="1648"/>
      <c r="C223" s="481">
        <v>1</v>
      </c>
      <c r="D223" s="482">
        <v>2</v>
      </c>
      <c r="E223" s="481">
        <v>3</v>
      </c>
      <c r="F223" s="482">
        <v>4</v>
      </c>
      <c r="G223" s="481">
        <v>5</v>
      </c>
      <c r="H223" s="482">
        <v>6</v>
      </c>
      <c r="I223" s="481">
        <v>7</v>
      </c>
      <c r="J223" s="482">
        <v>8</v>
      </c>
      <c r="K223" s="481">
        <v>9</v>
      </c>
      <c r="L223" s="482">
        <v>10</v>
      </c>
    </row>
    <row r="224" spans="1:12" ht="19.5" customHeight="1" hidden="1">
      <c r="A224" s="506" t="s">
        <v>0</v>
      </c>
      <c r="B224" s="427" t="s">
        <v>130</v>
      </c>
      <c r="C224" s="852">
        <f>D224+K224+L224</f>
        <v>2429524</v>
      </c>
      <c r="D224" s="852">
        <f>E224+F224+G224+H224+I224+J224</f>
        <v>285108</v>
      </c>
      <c r="E224" s="852">
        <f aca="true" t="shared" si="48" ref="E224:L224">E225+E226</f>
        <v>73615</v>
      </c>
      <c r="F224" s="852">
        <f t="shared" si="48"/>
        <v>0</v>
      </c>
      <c r="G224" s="852">
        <f t="shared" si="48"/>
        <v>12500</v>
      </c>
      <c r="H224" s="852">
        <f t="shared" si="48"/>
        <v>7488</v>
      </c>
      <c r="I224" s="852">
        <f t="shared" si="48"/>
        <v>12770</v>
      </c>
      <c r="J224" s="852">
        <f t="shared" si="48"/>
        <v>178735</v>
      </c>
      <c r="K224" s="852">
        <f t="shared" si="48"/>
        <v>0</v>
      </c>
      <c r="L224" s="852">
        <f t="shared" si="48"/>
        <v>2144416</v>
      </c>
    </row>
    <row r="225" spans="1:12" ht="16.5" customHeight="1" hidden="1">
      <c r="A225" s="507">
        <v>1</v>
      </c>
      <c r="B225" s="429" t="s">
        <v>131</v>
      </c>
      <c r="C225" s="851">
        <f>SUM(D225,K225,L225)</f>
        <v>1844360</v>
      </c>
      <c r="D225" s="851">
        <f>SUM(E225:J225)</f>
        <v>69427</v>
      </c>
      <c r="E225" s="968">
        <v>57877</v>
      </c>
      <c r="F225" s="968">
        <v>0</v>
      </c>
      <c r="G225" s="968"/>
      <c r="H225" s="968">
        <v>0</v>
      </c>
      <c r="I225" s="968">
        <v>11550</v>
      </c>
      <c r="J225" s="968"/>
      <c r="K225" s="965">
        <v>0</v>
      </c>
      <c r="L225" s="965">
        <v>1774933</v>
      </c>
    </row>
    <row r="226" spans="1:12" ht="1.5" customHeight="1" hidden="1">
      <c r="A226" s="507">
        <v>2</v>
      </c>
      <c r="B226" s="429" t="s">
        <v>132</v>
      </c>
      <c r="C226" s="851">
        <f>SUM(D226,K226,L226)</f>
        <v>585164</v>
      </c>
      <c r="D226" s="851">
        <f>SUM(E226:J226)</f>
        <v>215681</v>
      </c>
      <c r="E226" s="969">
        <v>15738</v>
      </c>
      <c r="F226" s="967"/>
      <c r="G226" s="967">
        <v>12500</v>
      </c>
      <c r="H226" s="967">
        <v>7488</v>
      </c>
      <c r="I226" s="969">
        <v>1220</v>
      </c>
      <c r="J226" s="969">
        <v>178735</v>
      </c>
      <c r="K226" s="967">
        <v>0</v>
      </c>
      <c r="L226" s="970">
        <v>369483</v>
      </c>
    </row>
    <row r="227" spans="1:12" ht="18.75" customHeight="1" hidden="1">
      <c r="A227" s="508" t="s">
        <v>1</v>
      </c>
      <c r="B227" s="394" t="s">
        <v>133</v>
      </c>
      <c r="C227" s="851">
        <f>SUM(D227,K227,L227)</f>
        <v>0</v>
      </c>
      <c r="D227" s="851">
        <f>SUM(E227:J227)</f>
        <v>0</v>
      </c>
      <c r="E227" s="967"/>
      <c r="F227" s="967"/>
      <c r="G227" s="967"/>
      <c r="H227" s="967"/>
      <c r="I227" s="967"/>
      <c r="J227" s="967"/>
      <c r="K227" s="967"/>
      <c r="L227" s="967"/>
    </row>
    <row r="228" spans="1:12" ht="21.75" customHeight="1" hidden="1">
      <c r="A228" s="508" t="s">
        <v>9</v>
      </c>
      <c r="B228" s="394" t="s">
        <v>134</v>
      </c>
      <c r="C228" s="851">
        <f>SUM(D228,K228,L228)</f>
        <v>0</v>
      </c>
      <c r="D228" s="851">
        <f>SUM(E228:J228)</f>
        <v>0</v>
      </c>
      <c r="E228" s="967">
        <v>0</v>
      </c>
      <c r="F228" s="967">
        <v>0</v>
      </c>
      <c r="G228" s="967">
        <v>0</v>
      </c>
      <c r="H228" s="967">
        <v>0</v>
      </c>
      <c r="I228" s="967"/>
      <c r="J228" s="967"/>
      <c r="K228" s="967"/>
      <c r="L228" s="967"/>
    </row>
    <row r="229" spans="1:12" ht="18.75" customHeight="1" hidden="1">
      <c r="A229" s="508" t="s">
        <v>135</v>
      </c>
      <c r="B229" s="394" t="s">
        <v>136</v>
      </c>
      <c r="C229" s="853">
        <f>SUM(D229,K229,L229)</f>
        <v>2429524</v>
      </c>
      <c r="D229" s="853">
        <f>SUM(E229:J229)</f>
        <v>285108</v>
      </c>
      <c r="E229" s="854">
        <f aca="true" t="shared" si="49" ref="E229:L229">E224-SUM(E227,E228)</f>
        <v>73615</v>
      </c>
      <c r="F229" s="854">
        <f t="shared" si="49"/>
        <v>0</v>
      </c>
      <c r="G229" s="854">
        <f t="shared" si="49"/>
        <v>12500</v>
      </c>
      <c r="H229" s="855">
        <f t="shared" si="49"/>
        <v>7488</v>
      </c>
      <c r="I229" s="854">
        <f t="shared" si="49"/>
        <v>12770</v>
      </c>
      <c r="J229" s="854">
        <f t="shared" si="49"/>
        <v>178735</v>
      </c>
      <c r="K229" s="854">
        <f t="shared" si="49"/>
        <v>0</v>
      </c>
      <c r="L229" s="854">
        <f t="shared" si="49"/>
        <v>2144416</v>
      </c>
    </row>
    <row r="230" spans="1:12" ht="19.5" customHeight="1" hidden="1">
      <c r="A230" s="508" t="s">
        <v>51</v>
      </c>
      <c r="B230" s="430" t="s">
        <v>137</v>
      </c>
      <c r="C230" s="853">
        <f>C231+C232+C233+C234+C235+C236+C237+C238</f>
        <v>628364</v>
      </c>
      <c r="D230" s="853">
        <f aca="true" t="shared" si="50" ref="D230:L230">D231+D232+D233+D234+D235+D236+D237+D238</f>
        <v>138329</v>
      </c>
      <c r="E230" s="853">
        <f t="shared" si="50"/>
        <v>18888</v>
      </c>
      <c r="F230" s="853">
        <f t="shared" si="50"/>
        <v>0</v>
      </c>
      <c r="G230" s="853">
        <f t="shared" si="50"/>
        <v>12500</v>
      </c>
      <c r="H230" s="853">
        <f t="shared" si="50"/>
        <v>7488</v>
      </c>
      <c r="I230" s="853">
        <f t="shared" si="50"/>
        <v>2020</v>
      </c>
      <c r="J230" s="853">
        <f t="shared" si="50"/>
        <v>97433</v>
      </c>
      <c r="K230" s="853">
        <f t="shared" si="50"/>
        <v>0</v>
      </c>
      <c r="L230" s="853">
        <f t="shared" si="50"/>
        <v>490035</v>
      </c>
    </row>
    <row r="231" spans="1:12" ht="15.75" hidden="1">
      <c r="A231" s="507" t="s">
        <v>53</v>
      </c>
      <c r="B231" s="429" t="s">
        <v>138</v>
      </c>
      <c r="C231" s="858">
        <f>SUM(D231,K231,L231)</f>
        <v>261969</v>
      </c>
      <c r="D231" s="858">
        <f>SUM(E231:J231)</f>
        <v>120344</v>
      </c>
      <c r="E231" s="971">
        <v>12538</v>
      </c>
      <c r="F231" s="972">
        <v>0</v>
      </c>
      <c r="G231" s="972">
        <v>6500</v>
      </c>
      <c r="H231" s="972">
        <v>7488</v>
      </c>
      <c r="I231" s="971">
        <v>1220</v>
      </c>
      <c r="J231" s="1112">
        <v>92598</v>
      </c>
      <c r="K231" s="972">
        <v>0</v>
      </c>
      <c r="L231" s="973">
        <v>141625</v>
      </c>
    </row>
    <row r="232" spans="1:12" ht="15.75" hidden="1">
      <c r="A232" s="507" t="s">
        <v>54</v>
      </c>
      <c r="B232" s="429" t="s">
        <v>139</v>
      </c>
      <c r="C232" s="851">
        <f>SUM(D232,K232,L232)</f>
        <v>1000</v>
      </c>
      <c r="D232" s="851">
        <f>SUM(E232:J232)</f>
        <v>1000</v>
      </c>
      <c r="E232" s="972">
        <v>200</v>
      </c>
      <c r="F232" s="972">
        <v>0</v>
      </c>
      <c r="G232" s="972">
        <v>0</v>
      </c>
      <c r="H232" s="972"/>
      <c r="I232" s="972">
        <v>800</v>
      </c>
      <c r="J232" s="1113">
        <v>0</v>
      </c>
      <c r="K232" s="972">
        <v>0</v>
      </c>
      <c r="L232" s="973">
        <v>0</v>
      </c>
    </row>
    <row r="233" spans="1:12" ht="15.75" hidden="1">
      <c r="A233" s="507" t="s">
        <v>140</v>
      </c>
      <c r="B233" s="429" t="s">
        <v>201</v>
      </c>
      <c r="C233" s="851">
        <f>SUM(D233,K233,L233)</f>
        <v>0</v>
      </c>
      <c r="D233" s="851">
        <f>SUM(E233:J233)</f>
        <v>0</v>
      </c>
      <c r="E233" s="972">
        <v>0</v>
      </c>
      <c r="F233" s="972">
        <v>0</v>
      </c>
      <c r="G233" s="972">
        <v>0</v>
      </c>
      <c r="H233" s="972"/>
      <c r="I233" s="972">
        <v>0</v>
      </c>
      <c r="J233" s="1113"/>
      <c r="K233" s="972"/>
      <c r="L233" s="971"/>
    </row>
    <row r="234" spans="1:12" ht="12.75" customHeight="1" hidden="1">
      <c r="A234" s="507" t="s">
        <v>142</v>
      </c>
      <c r="B234" s="429" t="s">
        <v>141</v>
      </c>
      <c r="C234" s="858">
        <f>SUM(D234,K234,L234)</f>
        <v>365395</v>
      </c>
      <c r="D234" s="858">
        <f>SUM(E234:J234)</f>
        <v>16985</v>
      </c>
      <c r="E234" s="971">
        <v>6150</v>
      </c>
      <c r="F234" s="972">
        <v>0</v>
      </c>
      <c r="G234" s="972">
        <v>6000</v>
      </c>
      <c r="H234" s="1114"/>
      <c r="I234" s="972">
        <v>0</v>
      </c>
      <c r="J234" s="1112">
        <v>4835</v>
      </c>
      <c r="K234" s="972">
        <v>0</v>
      </c>
      <c r="L234" s="973">
        <v>348410</v>
      </c>
    </row>
    <row r="235" spans="1:12" ht="15.75" hidden="1">
      <c r="A235" s="507" t="s">
        <v>144</v>
      </c>
      <c r="B235" s="429" t="s">
        <v>143</v>
      </c>
      <c r="C235" s="851">
        <f>D235+K235+L235</f>
        <v>0</v>
      </c>
      <c r="D235" s="851">
        <f>E235+F235+G235+H235+I235+J235</f>
        <v>0</v>
      </c>
      <c r="E235" s="967">
        <v>0</v>
      </c>
      <c r="F235" s="967">
        <v>0</v>
      </c>
      <c r="G235" s="967">
        <v>0</v>
      </c>
      <c r="H235" s="967"/>
      <c r="I235" s="967">
        <v>0</v>
      </c>
      <c r="J235" s="967"/>
      <c r="K235" s="967"/>
      <c r="L235" s="967"/>
    </row>
    <row r="236" spans="1:12" ht="15.75" hidden="1">
      <c r="A236" s="507" t="s">
        <v>146</v>
      </c>
      <c r="B236" s="429" t="s">
        <v>145</v>
      </c>
      <c r="C236" s="851">
        <f>SUM(D236,K236,L236)</f>
        <v>0</v>
      </c>
      <c r="D236" s="851">
        <f>SUM(E236:J236)</f>
        <v>0</v>
      </c>
      <c r="E236" s="972">
        <v>0</v>
      </c>
      <c r="F236" s="972">
        <v>0</v>
      </c>
      <c r="G236" s="972">
        <v>0</v>
      </c>
      <c r="H236" s="972"/>
      <c r="I236" s="972">
        <v>0</v>
      </c>
      <c r="J236" s="972"/>
      <c r="K236" s="972"/>
      <c r="L236" s="972"/>
    </row>
    <row r="237" spans="1:12" ht="25.5" hidden="1">
      <c r="A237" s="507" t="s">
        <v>148</v>
      </c>
      <c r="B237" s="431" t="s">
        <v>147</v>
      </c>
      <c r="C237" s="851">
        <f>SUM(D237,K237,L237)</f>
        <v>0</v>
      </c>
      <c r="D237" s="851">
        <f>SUM(E237:J237)</f>
        <v>0</v>
      </c>
      <c r="E237" s="897"/>
      <c r="F237" s="897"/>
      <c r="G237" s="897"/>
      <c r="H237" s="897"/>
      <c r="I237" s="897"/>
      <c r="J237" s="897"/>
      <c r="K237" s="897"/>
      <c r="L237" s="897"/>
    </row>
    <row r="238" spans="1:12" ht="15.75" hidden="1">
      <c r="A238" s="507" t="s">
        <v>185</v>
      </c>
      <c r="B238" s="429" t="s">
        <v>149</v>
      </c>
      <c r="C238" s="851">
        <f>SUM(D238,K238,L238)</f>
        <v>0</v>
      </c>
      <c r="D238" s="851">
        <f>SUM(E238:J238)</f>
        <v>0</v>
      </c>
      <c r="E238" s="896"/>
      <c r="F238" s="896"/>
      <c r="G238" s="896"/>
      <c r="H238" s="896"/>
      <c r="I238" s="896"/>
      <c r="J238" s="896"/>
      <c r="K238" s="896"/>
      <c r="L238" s="896"/>
    </row>
    <row r="239" spans="1:12" ht="15" hidden="1">
      <c r="A239" s="508" t="s">
        <v>52</v>
      </c>
      <c r="B239" s="394" t="s">
        <v>150</v>
      </c>
      <c r="C239" s="853">
        <f>C224-C227-C230</f>
        <v>1801160</v>
      </c>
      <c r="D239" s="853">
        <f>SUM(E239:J239)</f>
        <v>146779</v>
      </c>
      <c r="E239" s="853">
        <f>E229-E230</f>
        <v>54727</v>
      </c>
      <c r="F239" s="853">
        <f aca="true" t="shared" si="51" ref="F239:K239">F229-F230</f>
        <v>0</v>
      </c>
      <c r="G239" s="853">
        <f t="shared" si="51"/>
        <v>0</v>
      </c>
      <c r="H239" s="853">
        <f t="shared" si="51"/>
        <v>0</v>
      </c>
      <c r="I239" s="853">
        <f t="shared" si="51"/>
        <v>10750</v>
      </c>
      <c r="J239" s="853">
        <f t="shared" si="51"/>
        <v>81302</v>
      </c>
      <c r="K239" s="853">
        <f t="shared" si="51"/>
        <v>0</v>
      </c>
      <c r="L239" s="853">
        <f>L229-L230</f>
        <v>1654381</v>
      </c>
    </row>
    <row r="240" spans="1:12" ht="25.5" hidden="1">
      <c r="A240" s="534" t="s">
        <v>538</v>
      </c>
      <c r="B240" s="488" t="s">
        <v>213</v>
      </c>
      <c r="C240" s="532">
        <f>(C231+C232+C233)/C230</f>
        <v>0.41849787702669156</v>
      </c>
      <c r="D240" s="532">
        <f aca="true" t="shared" si="52" ref="D240:L240">(D231+D232+D233)/D230</f>
        <v>0.8772130211307824</v>
      </c>
      <c r="E240" s="533">
        <f t="shared" si="52"/>
        <v>0.6743964421855146</v>
      </c>
      <c r="F240" s="533" t="e">
        <f t="shared" si="52"/>
        <v>#DIV/0!</v>
      </c>
      <c r="G240" s="533">
        <f t="shared" si="52"/>
        <v>0.52</v>
      </c>
      <c r="H240" s="533">
        <f t="shared" si="52"/>
        <v>1</v>
      </c>
      <c r="I240" s="533">
        <f t="shared" si="52"/>
        <v>1</v>
      </c>
      <c r="J240" s="533">
        <f t="shared" si="52"/>
        <v>0.9503761559225313</v>
      </c>
      <c r="K240" s="533" t="e">
        <f t="shared" si="52"/>
        <v>#DIV/0!</v>
      </c>
      <c r="L240" s="533">
        <f t="shared" si="52"/>
        <v>0.28900996867570683</v>
      </c>
    </row>
  </sheetData>
  <sheetProtection/>
  <mergeCells count="103">
    <mergeCell ref="M9:P9"/>
    <mergeCell ref="B30:C30"/>
    <mergeCell ref="C6:C9"/>
    <mergeCell ref="D8:D9"/>
    <mergeCell ref="A10:B10"/>
    <mergeCell ref="A6:B9"/>
    <mergeCell ref="G30:L30"/>
    <mergeCell ref="A29:D29"/>
    <mergeCell ref="H29:L29"/>
    <mergeCell ref="A37:D37"/>
    <mergeCell ref="E5:I5"/>
    <mergeCell ref="H37:L37"/>
    <mergeCell ref="A1:B1"/>
    <mergeCell ref="A3:B3"/>
    <mergeCell ref="D1:J1"/>
    <mergeCell ref="D3:J3"/>
    <mergeCell ref="K1:L1"/>
    <mergeCell ref="I28:L28"/>
    <mergeCell ref="E8:J8"/>
    <mergeCell ref="A2:C2"/>
    <mergeCell ref="D2:J2"/>
    <mergeCell ref="K4:L4"/>
    <mergeCell ref="K5:L5"/>
    <mergeCell ref="D6:L6"/>
    <mergeCell ref="D7:J7"/>
    <mergeCell ref="K7:K9"/>
    <mergeCell ref="L7:L9"/>
    <mergeCell ref="K2:L2"/>
    <mergeCell ref="K3:L3"/>
    <mergeCell ref="B32:C32"/>
    <mergeCell ref="N6:P6"/>
    <mergeCell ref="A45:B48"/>
    <mergeCell ref="C45:C48"/>
    <mergeCell ref="D45:L45"/>
    <mergeCell ref="D46:J46"/>
    <mergeCell ref="K46:K48"/>
    <mergeCell ref="L46:L48"/>
    <mergeCell ref="D47:D48"/>
    <mergeCell ref="E47:J47"/>
    <mergeCell ref="A49:B49"/>
    <mergeCell ref="A70:B73"/>
    <mergeCell ref="C70:C73"/>
    <mergeCell ref="D70:L70"/>
    <mergeCell ref="D71:J71"/>
    <mergeCell ref="K71:K73"/>
    <mergeCell ref="L71:L73"/>
    <mergeCell ref="D72:D73"/>
    <mergeCell ref="E72:J72"/>
    <mergeCell ref="A74:B74"/>
    <mergeCell ref="A94:B97"/>
    <mergeCell ref="C94:C97"/>
    <mergeCell ref="D94:L94"/>
    <mergeCell ref="D95:J95"/>
    <mergeCell ref="K95:K97"/>
    <mergeCell ref="L95:L97"/>
    <mergeCell ref="D96:D97"/>
    <mergeCell ref="E96:J96"/>
    <mergeCell ref="A98:B98"/>
    <mergeCell ref="A119:B122"/>
    <mergeCell ref="C119:C122"/>
    <mergeCell ref="D119:L119"/>
    <mergeCell ref="D120:J120"/>
    <mergeCell ref="K120:K122"/>
    <mergeCell ref="L120:L122"/>
    <mergeCell ref="D121:D122"/>
    <mergeCell ref="E121:J121"/>
    <mergeCell ref="A123:B123"/>
    <mergeCell ref="A144:B147"/>
    <mergeCell ref="C144:C147"/>
    <mergeCell ref="D144:L144"/>
    <mergeCell ref="D145:J145"/>
    <mergeCell ref="K145:K147"/>
    <mergeCell ref="L145:L147"/>
    <mergeCell ref="D146:D147"/>
    <mergeCell ref="E146:J146"/>
    <mergeCell ref="A148:B148"/>
    <mergeCell ref="A169:B172"/>
    <mergeCell ref="C169:C172"/>
    <mergeCell ref="D169:L169"/>
    <mergeCell ref="D170:J170"/>
    <mergeCell ref="K170:K172"/>
    <mergeCell ref="L170:L172"/>
    <mergeCell ref="D171:D172"/>
    <mergeCell ref="E171:J171"/>
    <mergeCell ref="D194:L194"/>
    <mergeCell ref="D195:J195"/>
    <mergeCell ref="K195:K197"/>
    <mergeCell ref="L195:L197"/>
    <mergeCell ref="D196:D197"/>
    <mergeCell ref="E196:J196"/>
    <mergeCell ref="A223:B223"/>
    <mergeCell ref="A198:B198"/>
    <mergeCell ref="A219:B222"/>
    <mergeCell ref="C219:C222"/>
    <mergeCell ref="A173:B173"/>
    <mergeCell ref="A194:B197"/>
    <mergeCell ref="C194:C197"/>
    <mergeCell ref="D219:L219"/>
    <mergeCell ref="D220:J220"/>
    <mergeCell ref="K220:K222"/>
    <mergeCell ref="L220:L222"/>
    <mergeCell ref="D221:D222"/>
    <mergeCell ref="E221:J221"/>
  </mergeCells>
  <conditionalFormatting sqref="C11">
    <cfRule type="cellIs" priority="25" dxfId="26" operator="equal" stopIfTrue="1">
      <formula>"Kiểm tra lại"</formula>
    </cfRule>
  </conditionalFormatting>
  <conditionalFormatting sqref="C17:L17">
    <cfRule type="cellIs" priority="26" dxfId="27" operator="equal" stopIfTrue="1">
      <formula>"Kiểm tra lại"</formula>
    </cfRule>
  </conditionalFormatting>
  <conditionalFormatting sqref="C50">
    <cfRule type="cellIs" priority="24" dxfId="26" operator="equal" stopIfTrue="1">
      <formula>"Kiểm tra lại"</formula>
    </cfRule>
  </conditionalFormatting>
  <conditionalFormatting sqref="C56:L56">
    <cfRule type="cellIs" priority="23" dxfId="27" operator="equal" stopIfTrue="1">
      <formula>"Kiểm tra lại"</formula>
    </cfRule>
  </conditionalFormatting>
  <conditionalFormatting sqref="C75">
    <cfRule type="cellIs" priority="22" dxfId="26" operator="equal" stopIfTrue="1">
      <formula>"Kiểm tra lại"</formula>
    </cfRule>
  </conditionalFormatting>
  <conditionalFormatting sqref="C81:L81">
    <cfRule type="cellIs" priority="21" dxfId="27" operator="equal" stopIfTrue="1">
      <formula>"Kiểm tra lại"</formula>
    </cfRule>
  </conditionalFormatting>
  <conditionalFormatting sqref="C99">
    <cfRule type="cellIs" priority="20" dxfId="26" operator="equal" stopIfTrue="1">
      <formula>"Kiểm tra lại"</formula>
    </cfRule>
  </conditionalFormatting>
  <conditionalFormatting sqref="C105:L105">
    <cfRule type="cellIs" priority="19" dxfId="27" operator="equal" stopIfTrue="1">
      <formula>"Kiểm tra lại"</formula>
    </cfRule>
  </conditionalFormatting>
  <conditionalFormatting sqref="C124">
    <cfRule type="cellIs" priority="18" dxfId="26" operator="equal" stopIfTrue="1">
      <formula>"Kiểm tra lại"</formula>
    </cfRule>
  </conditionalFormatting>
  <conditionalFormatting sqref="C130:L130">
    <cfRule type="cellIs" priority="17" dxfId="27" operator="equal" stopIfTrue="1">
      <formula>"Kiểm tra lại"</formula>
    </cfRule>
  </conditionalFormatting>
  <conditionalFormatting sqref="C149">
    <cfRule type="cellIs" priority="16" dxfId="26" operator="equal" stopIfTrue="1">
      <formula>"Kiểm tra lại"</formula>
    </cfRule>
  </conditionalFormatting>
  <conditionalFormatting sqref="C155:L155">
    <cfRule type="cellIs" priority="15" dxfId="27" operator="equal" stopIfTrue="1">
      <formula>"Kiểm tra lại"</formula>
    </cfRule>
  </conditionalFormatting>
  <conditionalFormatting sqref="C174">
    <cfRule type="cellIs" priority="14" dxfId="26" operator="equal" stopIfTrue="1">
      <formula>"Kiểm tra lại"</formula>
    </cfRule>
  </conditionalFormatting>
  <conditionalFormatting sqref="C180:L180">
    <cfRule type="cellIs" priority="13" dxfId="27" operator="equal" stopIfTrue="1">
      <formula>"Kiểm tra lại"</formula>
    </cfRule>
  </conditionalFormatting>
  <conditionalFormatting sqref="C199">
    <cfRule type="cellIs" priority="12" dxfId="26" operator="equal" stopIfTrue="1">
      <formula>"Kiểm tra lại"</formula>
    </cfRule>
  </conditionalFormatting>
  <conditionalFormatting sqref="C205:L205">
    <cfRule type="cellIs" priority="11" dxfId="27" operator="equal" stopIfTrue="1">
      <formula>"Kiểm tra lại"</formula>
    </cfRule>
  </conditionalFormatting>
  <conditionalFormatting sqref="C224">
    <cfRule type="cellIs" priority="10" dxfId="26" operator="equal" stopIfTrue="1">
      <formula>"Kiểm tra lại"</formula>
    </cfRule>
  </conditionalFormatting>
  <conditionalFormatting sqref="C230:L230">
    <cfRule type="cellIs" priority="9" dxfId="27" operator="equal" stopIfTrue="1">
      <formula>"Kiểm tra lại"</formula>
    </cfRule>
  </conditionalFormatting>
  <conditionalFormatting sqref="C174">
    <cfRule type="cellIs" priority="8" dxfId="26" operator="equal" stopIfTrue="1">
      <formula>"Kiểm tra lại"</formula>
    </cfRule>
  </conditionalFormatting>
  <conditionalFormatting sqref="C180:L180">
    <cfRule type="cellIs" priority="7" dxfId="27" operator="equal" stopIfTrue="1">
      <formula>"Kiểm tra lại"</formula>
    </cfRule>
  </conditionalFormatting>
  <conditionalFormatting sqref="C99">
    <cfRule type="cellIs" priority="6" dxfId="26" operator="equal" stopIfTrue="1">
      <formula>"Kiểm tra lại"</formula>
    </cfRule>
  </conditionalFormatting>
  <conditionalFormatting sqref="C105:L105">
    <cfRule type="cellIs" priority="5" dxfId="27" operator="equal" stopIfTrue="1">
      <formula>"Kiểm tra lại"</formula>
    </cfRule>
  </conditionalFormatting>
  <conditionalFormatting sqref="C99">
    <cfRule type="cellIs" priority="4" dxfId="26" operator="equal" stopIfTrue="1">
      <formula>"Kiểm tra lại"</formula>
    </cfRule>
  </conditionalFormatting>
  <conditionalFormatting sqref="C105:L105">
    <cfRule type="cellIs" priority="3" dxfId="27" operator="equal" stopIfTrue="1">
      <formula>"Kiểm tra lại"</formula>
    </cfRule>
  </conditionalFormatting>
  <conditionalFormatting sqref="C99">
    <cfRule type="cellIs" priority="2" dxfId="26" operator="equal" stopIfTrue="1">
      <formula>"Kiểm tra lại"</formula>
    </cfRule>
  </conditionalFormatting>
  <conditionalFormatting sqref="C105:L105">
    <cfRule type="cellIs" priority="1" dxfId="27" operator="equal" stopIfTrue="1">
      <formula>"Kiểm tra lại"</formula>
    </cfRule>
  </conditionalFormatting>
  <printOptions/>
  <pageMargins left="0.34" right="0" top="0.1968503937007874" bottom="0" header="0.1968503937007874" footer="0.1968503937007874"/>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75"/>
  <sheetViews>
    <sheetView showZeros="0" zoomScaleSheetLayoutView="85" zoomScalePageLayoutView="0" workbookViewId="0" topLeftCell="A7">
      <pane xSplit="1" ySplit="5" topLeftCell="B12" activePane="bottomRight" state="frozen"/>
      <selection pane="topLeft" activeCell="A7" sqref="A7"/>
      <selection pane="topRight" activeCell="B7" sqref="B7"/>
      <selection pane="bottomLeft" activeCell="A12" sqref="A12"/>
      <selection pane="bottomRight" activeCell="N59" sqref="N59"/>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7.50390625" style="26" customWidth="1"/>
    <col min="9" max="9" width="6.875" style="26" customWidth="1"/>
    <col min="10" max="11" width="6.25390625" style="26" customWidth="1"/>
    <col min="12" max="12" width="5.75390625" style="26" customWidth="1"/>
    <col min="13" max="14" width="5.875" style="26" customWidth="1"/>
    <col min="15" max="15" width="5.25390625" style="26" customWidth="1"/>
    <col min="16" max="16" width="5.75390625" style="26" customWidth="1"/>
    <col min="17" max="17" width="8.375" style="26" customWidth="1"/>
    <col min="18" max="18" width="6.625" style="26" customWidth="1"/>
    <col min="19" max="19" width="6.875" style="26" customWidth="1"/>
    <col min="20" max="16384" width="9.00390625" style="26" customWidth="1"/>
  </cols>
  <sheetData>
    <row r="1" spans="1:19" ht="20.25" customHeight="1">
      <c r="A1" s="450" t="s">
        <v>33</v>
      </c>
      <c r="B1" s="450"/>
      <c r="C1" s="450"/>
      <c r="E1" s="1617" t="s">
        <v>82</v>
      </c>
      <c r="F1" s="1617"/>
      <c r="G1" s="1617"/>
      <c r="H1" s="1617"/>
      <c r="I1" s="1617"/>
      <c r="J1" s="1617"/>
      <c r="K1" s="1617"/>
      <c r="L1" s="1617"/>
      <c r="M1" s="1617"/>
      <c r="N1" s="1617"/>
      <c r="O1" s="1617"/>
      <c r="P1" s="409" t="s">
        <v>559</v>
      </c>
      <c r="Q1" s="409"/>
      <c r="R1" s="409"/>
      <c r="S1" s="409"/>
    </row>
    <row r="2" spans="1:19" ht="17.25" customHeight="1">
      <c r="A2" s="1667" t="s">
        <v>342</v>
      </c>
      <c r="B2" s="1667"/>
      <c r="C2" s="1667"/>
      <c r="D2" s="1667"/>
      <c r="E2" s="1616" t="s">
        <v>41</v>
      </c>
      <c r="F2" s="1616"/>
      <c r="G2" s="1616"/>
      <c r="H2" s="1616"/>
      <c r="I2" s="1616"/>
      <c r="J2" s="1616"/>
      <c r="K2" s="1616"/>
      <c r="L2" s="1616"/>
      <c r="M2" s="1616"/>
      <c r="N2" s="1616"/>
      <c r="O2" s="1616"/>
      <c r="P2" s="1668" t="str">
        <f>'Thong tin'!B4</f>
        <v>Cục THADS tỉnh Tuyên Quang</v>
      </c>
      <c r="Q2" s="1668"/>
      <c r="R2" s="1668"/>
      <c r="S2" s="1668"/>
    </row>
    <row r="3" spans="1:19" ht="19.5" customHeight="1">
      <c r="A3" s="1667" t="s">
        <v>343</v>
      </c>
      <c r="B3" s="1667"/>
      <c r="C3" s="1667"/>
      <c r="D3" s="1667"/>
      <c r="E3" s="1679" t="str">
        <f>'Thong tin'!B3</f>
        <v>06 tháng / năm 2018</v>
      </c>
      <c r="F3" s="1679"/>
      <c r="G3" s="1679"/>
      <c r="H3" s="1679"/>
      <c r="I3" s="1679"/>
      <c r="J3" s="1679"/>
      <c r="K3" s="1679"/>
      <c r="L3" s="1679"/>
      <c r="M3" s="1679"/>
      <c r="N3" s="1679"/>
      <c r="O3" s="1679"/>
      <c r="P3" s="409" t="s">
        <v>560</v>
      </c>
      <c r="Q3" s="450"/>
      <c r="R3" s="409"/>
      <c r="S3" s="409"/>
    </row>
    <row r="4" spans="1:19" ht="14.25" customHeight="1">
      <c r="A4" s="412" t="s">
        <v>215</v>
      </c>
      <c r="B4" s="450"/>
      <c r="C4" s="450"/>
      <c r="D4" s="450"/>
      <c r="E4" s="450"/>
      <c r="F4" s="450"/>
      <c r="G4" s="450"/>
      <c r="H4" s="450"/>
      <c r="I4" s="450"/>
      <c r="J4" s="450"/>
      <c r="K4" s="450"/>
      <c r="L4" s="450"/>
      <c r="M4" s="450"/>
      <c r="N4" s="492"/>
      <c r="O4" s="492"/>
      <c r="P4" s="1687" t="s">
        <v>410</v>
      </c>
      <c r="Q4" s="1687"/>
      <c r="R4" s="1687"/>
      <c r="S4" s="1687"/>
    </row>
    <row r="5" spans="2:19" ht="21.75" customHeight="1">
      <c r="B5" s="446"/>
      <c r="C5" s="446"/>
      <c r="Q5" s="493" t="s">
        <v>341</v>
      </c>
      <c r="R5" s="494"/>
      <c r="S5" s="494"/>
    </row>
    <row r="6" spans="1:19" ht="18.75" customHeight="1">
      <c r="A6" s="1282" t="s">
        <v>71</v>
      </c>
      <c r="B6" s="1283"/>
      <c r="C6" s="1675" t="s">
        <v>216</v>
      </c>
      <c r="D6" s="1676"/>
      <c r="E6" s="1677"/>
      <c r="F6" s="1680" t="s">
        <v>133</v>
      </c>
      <c r="G6" s="1267" t="s">
        <v>217</v>
      </c>
      <c r="H6" s="1684" t="s">
        <v>136</v>
      </c>
      <c r="I6" s="1685"/>
      <c r="J6" s="1685"/>
      <c r="K6" s="1685"/>
      <c r="L6" s="1685"/>
      <c r="M6" s="1685"/>
      <c r="N6" s="1685"/>
      <c r="O6" s="1685"/>
      <c r="P6" s="1685"/>
      <c r="Q6" s="1686"/>
      <c r="R6" s="1672" t="s">
        <v>352</v>
      </c>
      <c r="S6" s="1672" t="s">
        <v>562</v>
      </c>
    </row>
    <row r="7" spans="1:19" s="409" customFormat="1" ht="18.75" customHeight="1">
      <c r="A7" s="1284"/>
      <c r="B7" s="1285"/>
      <c r="C7" s="1672" t="s">
        <v>50</v>
      </c>
      <c r="D7" s="1691" t="s">
        <v>7</v>
      </c>
      <c r="E7" s="1692"/>
      <c r="F7" s="1681"/>
      <c r="G7" s="1683"/>
      <c r="H7" s="1267" t="s">
        <v>136</v>
      </c>
      <c r="I7" s="1675" t="s">
        <v>137</v>
      </c>
      <c r="J7" s="1676"/>
      <c r="K7" s="1676"/>
      <c r="L7" s="1676"/>
      <c r="M7" s="1676"/>
      <c r="N7" s="1676"/>
      <c r="O7" s="1676"/>
      <c r="P7" s="1677"/>
      <c r="Q7" s="1267" t="s">
        <v>150</v>
      </c>
      <c r="R7" s="1673"/>
      <c r="S7" s="1673"/>
    </row>
    <row r="8" spans="1:19" ht="18.75" customHeight="1">
      <c r="A8" s="1284"/>
      <c r="B8" s="1285"/>
      <c r="C8" s="1673"/>
      <c r="D8" s="1693" t="s">
        <v>219</v>
      </c>
      <c r="E8" s="1693" t="s">
        <v>220</v>
      </c>
      <c r="F8" s="1681"/>
      <c r="G8" s="1683"/>
      <c r="H8" s="1683"/>
      <c r="I8" s="1267" t="s">
        <v>561</v>
      </c>
      <c r="J8" s="1691" t="s">
        <v>7</v>
      </c>
      <c r="K8" s="1695"/>
      <c r="L8" s="1695"/>
      <c r="M8" s="1695"/>
      <c r="N8" s="1695"/>
      <c r="O8" s="1695"/>
      <c r="P8" s="1692"/>
      <c r="Q8" s="1683"/>
      <c r="R8" s="1673"/>
      <c r="S8" s="1673"/>
    </row>
    <row r="9" spans="1:19" ht="134.25" customHeight="1">
      <c r="A9" s="1649"/>
      <c r="B9" s="1650"/>
      <c r="C9" s="1674"/>
      <c r="D9" s="1694"/>
      <c r="E9" s="1694"/>
      <c r="F9" s="1682"/>
      <c r="G9" s="1671"/>
      <c r="H9" s="1671"/>
      <c r="I9" s="1671"/>
      <c r="J9" s="495" t="s">
        <v>221</v>
      </c>
      <c r="K9" s="495" t="s">
        <v>222</v>
      </c>
      <c r="L9" s="496" t="s">
        <v>141</v>
      </c>
      <c r="M9" s="496" t="s">
        <v>223</v>
      </c>
      <c r="N9" s="496" t="s">
        <v>145</v>
      </c>
      <c r="O9" s="496" t="s">
        <v>353</v>
      </c>
      <c r="P9" s="496" t="s">
        <v>149</v>
      </c>
      <c r="Q9" s="1671"/>
      <c r="R9" s="1674"/>
      <c r="S9" s="1674"/>
    </row>
    <row r="10" spans="1:19" ht="22.5" customHeight="1">
      <c r="A10" s="1696" t="s">
        <v>6</v>
      </c>
      <c r="B10" s="1697"/>
      <c r="C10" s="497">
        <v>1</v>
      </c>
      <c r="D10" s="497">
        <v>2</v>
      </c>
      <c r="E10" s="497">
        <v>3</v>
      </c>
      <c r="F10" s="497">
        <v>4</v>
      </c>
      <c r="G10" s="497">
        <v>5</v>
      </c>
      <c r="H10" s="497">
        <v>6</v>
      </c>
      <c r="I10" s="497">
        <v>7</v>
      </c>
      <c r="J10" s="497">
        <v>8</v>
      </c>
      <c r="K10" s="497">
        <v>9</v>
      </c>
      <c r="L10" s="497">
        <v>10</v>
      </c>
      <c r="M10" s="497">
        <v>11</v>
      </c>
      <c r="N10" s="497">
        <v>12</v>
      </c>
      <c r="O10" s="497">
        <v>13</v>
      </c>
      <c r="P10" s="497">
        <v>14</v>
      </c>
      <c r="Q10" s="497">
        <v>15</v>
      </c>
      <c r="R10" s="497">
        <v>16</v>
      </c>
      <c r="S10" s="498">
        <v>17</v>
      </c>
    </row>
    <row r="11" spans="1:20" ht="25.5" customHeight="1">
      <c r="A11" s="1678" t="s">
        <v>36</v>
      </c>
      <c r="B11" s="1677"/>
      <c r="C11" s="1220">
        <f>C12+C24+C33+C40+C48+C53+C58+C61</f>
        <v>4125</v>
      </c>
      <c r="D11" s="1220">
        <f>D12+D24+D33+D40+D48+D53+D58+D61</f>
        <v>1580</v>
      </c>
      <c r="E11" s="1220">
        <f>E12+E24+E33+E40+E48+E53+E58+E61</f>
        <v>2545</v>
      </c>
      <c r="F11" s="1220">
        <f>F12+F24+F33+F40+F48+F53+F58+F61</f>
        <v>22</v>
      </c>
      <c r="G11" s="1220">
        <f>G12+G24+G33+G40+G48+G53+G58+G61</f>
        <v>0</v>
      </c>
      <c r="H11" s="1220">
        <f>I11+Q11</f>
        <v>4103</v>
      </c>
      <c r="I11" s="1220">
        <f aca="true" t="shared" si="0" ref="I11:R11">I12+I24+I33+I40+I48+I53+I58+I61</f>
        <v>2812</v>
      </c>
      <c r="J11" s="1220">
        <f t="shared" si="0"/>
        <v>2261</v>
      </c>
      <c r="K11" s="1220">
        <f t="shared" si="0"/>
        <v>37</v>
      </c>
      <c r="L11" s="1220">
        <f t="shared" si="0"/>
        <v>463</v>
      </c>
      <c r="M11" s="1220">
        <f t="shared" si="0"/>
        <v>36</v>
      </c>
      <c r="N11" s="1220">
        <f t="shared" si="0"/>
        <v>0</v>
      </c>
      <c r="O11" s="1220">
        <f t="shared" si="0"/>
        <v>0</v>
      </c>
      <c r="P11" s="1220">
        <f t="shared" si="0"/>
        <v>15</v>
      </c>
      <c r="Q11" s="1220">
        <f t="shared" si="0"/>
        <v>1291</v>
      </c>
      <c r="R11" s="1220">
        <f t="shared" si="0"/>
        <v>1805</v>
      </c>
      <c r="S11" s="1221">
        <f>SUM(J11:K11)/SUM(I11)*100%</f>
        <v>0.8172119487908962</v>
      </c>
      <c r="T11" s="844"/>
    </row>
    <row r="12" spans="1:19" ht="15">
      <c r="A12" s="499" t="s">
        <v>0</v>
      </c>
      <c r="B12" s="407" t="s">
        <v>97</v>
      </c>
      <c r="C12" s="1220">
        <f>D12+E12</f>
        <v>228</v>
      </c>
      <c r="D12" s="1220">
        <f aca="true" t="shared" si="1" ref="D12:R12">SUM(D15:D22)</f>
        <v>167</v>
      </c>
      <c r="E12" s="1220">
        <f t="shared" si="1"/>
        <v>61</v>
      </c>
      <c r="F12" s="1220">
        <f t="shared" si="1"/>
        <v>0</v>
      </c>
      <c r="G12" s="1220">
        <f t="shared" si="1"/>
        <v>0</v>
      </c>
      <c r="H12" s="1220">
        <f t="shared" si="1"/>
        <v>228</v>
      </c>
      <c r="I12" s="1220">
        <f t="shared" si="1"/>
        <v>63</v>
      </c>
      <c r="J12" s="1220">
        <f t="shared" si="1"/>
        <v>45</v>
      </c>
      <c r="K12" s="1220">
        <f t="shared" si="1"/>
        <v>1</v>
      </c>
      <c r="L12" s="1220">
        <f t="shared" si="1"/>
        <v>17</v>
      </c>
      <c r="M12" s="1220">
        <f t="shared" si="1"/>
        <v>0</v>
      </c>
      <c r="N12" s="1220">
        <f t="shared" si="1"/>
        <v>0</v>
      </c>
      <c r="O12" s="1220">
        <f t="shared" si="1"/>
        <v>0</v>
      </c>
      <c r="P12" s="1220">
        <f t="shared" si="1"/>
        <v>0</v>
      </c>
      <c r="Q12" s="1220">
        <f t="shared" si="1"/>
        <v>165</v>
      </c>
      <c r="R12" s="1220">
        <f t="shared" si="1"/>
        <v>182</v>
      </c>
      <c r="S12" s="1221">
        <f aca="true" t="shared" si="2" ref="S12:S60">SUM(J12:K12)/SUM(I12)*100%</f>
        <v>0.7301587301587301</v>
      </c>
    </row>
    <row r="13" spans="1:19" ht="15">
      <c r="A13" s="845" t="s">
        <v>51</v>
      </c>
      <c r="B13" s="1211" t="s">
        <v>810</v>
      </c>
      <c r="C13" s="1222">
        <f>D13+E13</f>
        <v>0</v>
      </c>
      <c r="D13" s="1223"/>
      <c r="E13" s="1223"/>
      <c r="F13" s="1223"/>
      <c r="G13" s="1223"/>
      <c r="H13" s="1222">
        <f>I13+Q13</f>
        <v>0</v>
      </c>
      <c r="I13" s="1222">
        <f>SUM(J13:P13)</f>
        <v>0</v>
      </c>
      <c r="J13" s="1223"/>
      <c r="K13" s="1223"/>
      <c r="L13" s="1223"/>
      <c r="M13" s="1223"/>
      <c r="N13" s="1223"/>
      <c r="O13" s="1223"/>
      <c r="P13" s="1223"/>
      <c r="Q13" s="1223"/>
      <c r="R13" s="1222">
        <f>(C13-F13-J13-K13)</f>
        <v>0</v>
      </c>
      <c r="S13" s="1224" t="e">
        <f t="shared" si="2"/>
        <v>#DIV/0!</v>
      </c>
    </row>
    <row r="14" spans="1:19" ht="15">
      <c r="A14" s="845" t="s">
        <v>52</v>
      </c>
      <c r="B14" s="1211" t="s">
        <v>811</v>
      </c>
      <c r="C14" s="1222">
        <f>D14+E14</f>
        <v>0</v>
      </c>
      <c r="D14" s="1223"/>
      <c r="E14" s="1223"/>
      <c r="F14" s="1223"/>
      <c r="G14" s="1223"/>
      <c r="H14" s="1222">
        <f>I14+Q14</f>
        <v>0</v>
      </c>
      <c r="I14" s="1222">
        <f>SUM(J14:P14)</f>
        <v>0</v>
      </c>
      <c r="J14" s="1223"/>
      <c r="K14" s="1223"/>
      <c r="L14" s="1223"/>
      <c r="M14" s="1223"/>
      <c r="N14" s="1223"/>
      <c r="O14" s="1223"/>
      <c r="P14" s="1223"/>
      <c r="Q14" s="1223"/>
      <c r="R14" s="1222">
        <f>(C14-F14-J14-K14)</f>
        <v>0</v>
      </c>
      <c r="S14" s="1224" t="e">
        <f t="shared" si="2"/>
        <v>#DIV/0!</v>
      </c>
    </row>
    <row r="15" spans="1:19" ht="18.75" customHeight="1">
      <c r="A15" s="845" t="s">
        <v>57</v>
      </c>
      <c r="B15" s="1178" t="s">
        <v>664</v>
      </c>
      <c r="C15" s="1222">
        <f>D15+E15</f>
        <v>26</v>
      </c>
      <c r="D15" s="1225">
        <v>19</v>
      </c>
      <c r="E15" s="1226">
        <v>7</v>
      </c>
      <c r="F15" s="1227"/>
      <c r="G15" s="1228"/>
      <c r="H15" s="1222">
        <f>I15+Q15</f>
        <v>26</v>
      </c>
      <c r="I15" s="1222">
        <f>SUM(J15:P15)</f>
        <v>6</v>
      </c>
      <c r="J15" s="1226">
        <v>6</v>
      </c>
      <c r="K15" s="1226">
        <v>0</v>
      </c>
      <c r="L15" s="1226">
        <v>0</v>
      </c>
      <c r="M15" s="1227"/>
      <c r="N15" s="1229"/>
      <c r="O15" s="1229"/>
      <c r="P15" s="1229"/>
      <c r="Q15" s="1230">
        <v>20</v>
      </c>
      <c r="R15" s="1222">
        <f>(C15-F15-J15-K15)</f>
        <v>20</v>
      </c>
      <c r="S15" s="1224">
        <f t="shared" si="2"/>
        <v>1</v>
      </c>
    </row>
    <row r="16" spans="1:19" ht="18.75" customHeight="1">
      <c r="A16" s="845" t="s">
        <v>72</v>
      </c>
      <c r="B16" s="1178" t="s">
        <v>665</v>
      </c>
      <c r="C16" s="1222">
        <f aca="true" t="shared" si="3" ref="C16:C22">D16+E16</f>
        <v>33</v>
      </c>
      <c r="D16" s="1225">
        <v>14</v>
      </c>
      <c r="E16" s="1226">
        <v>19</v>
      </c>
      <c r="F16" s="1227"/>
      <c r="G16" s="1228"/>
      <c r="H16" s="1222">
        <f>I16+Q16</f>
        <v>33</v>
      </c>
      <c r="I16" s="1222">
        <f aca="true" t="shared" si="4" ref="I16:I22">SUM(J16:P16)</f>
        <v>20</v>
      </c>
      <c r="J16" s="1226">
        <v>10</v>
      </c>
      <c r="K16" s="1226">
        <v>0</v>
      </c>
      <c r="L16" s="1226">
        <v>10</v>
      </c>
      <c r="M16" s="1227"/>
      <c r="N16" s="1229"/>
      <c r="O16" s="1229"/>
      <c r="P16" s="1229"/>
      <c r="Q16" s="1230">
        <v>13</v>
      </c>
      <c r="R16" s="1222">
        <f aca="true" t="shared" si="5" ref="R16:R22">(C16-F16-J16-K16)</f>
        <v>23</v>
      </c>
      <c r="S16" s="1224">
        <f t="shared" si="2"/>
        <v>0.5</v>
      </c>
    </row>
    <row r="17" spans="1:19" ht="18.75" customHeight="1">
      <c r="A17" s="845" t="s">
        <v>73</v>
      </c>
      <c r="B17" s="1178" t="s">
        <v>671</v>
      </c>
      <c r="C17" s="1222">
        <f t="shared" si="3"/>
        <v>122</v>
      </c>
      <c r="D17" s="1231">
        <v>104</v>
      </c>
      <c r="E17" s="1232">
        <v>18</v>
      </c>
      <c r="F17" s="1233"/>
      <c r="G17" s="1234"/>
      <c r="H17" s="1222">
        <f aca="true" t="shared" si="6" ref="H17:H22">I17+Q17</f>
        <v>122</v>
      </c>
      <c r="I17" s="1222">
        <f t="shared" si="4"/>
        <v>19</v>
      </c>
      <c r="J17" s="1232">
        <v>17</v>
      </c>
      <c r="K17" s="1232"/>
      <c r="L17" s="1232">
        <v>2</v>
      </c>
      <c r="M17" s="1235"/>
      <c r="N17" s="1236"/>
      <c r="O17" s="1236"/>
      <c r="P17" s="1236"/>
      <c r="Q17" s="1237">
        <v>103</v>
      </c>
      <c r="R17" s="1222">
        <f t="shared" si="5"/>
        <v>105</v>
      </c>
      <c r="S17" s="1224">
        <f t="shared" si="2"/>
        <v>0.8947368421052632</v>
      </c>
    </row>
    <row r="18" spans="1:19" ht="18.75" customHeight="1">
      <c r="A18" s="845" t="s">
        <v>74</v>
      </c>
      <c r="B18" s="1178" t="s">
        <v>667</v>
      </c>
      <c r="C18" s="1222">
        <f t="shared" si="3"/>
        <v>3</v>
      </c>
      <c r="D18" s="1225">
        <v>3</v>
      </c>
      <c r="E18" s="1226">
        <v>0</v>
      </c>
      <c r="F18" s="1227"/>
      <c r="G18" s="1228"/>
      <c r="H18" s="1222">
        <f t="shared" si="6"/>
        <v>3</v>
      </c>
      <c r="I18" s="1222">
        <f t="shared" si="4"/>
        <v>0</v>
      </c>
      <c r="J18" s="1226">
        <v>0</v>
      </c>
      <c r="K18" s="1226"/>
      <c r="L18" s="1226">
        <v>0</v>
      </c>
      <c r="M18" s="1227"/>
      <c r="N18" s="1229"/>
      <c r="O18" s="1229"/>
      <c r="P18" s="1229"/>
      <c r="Q18" s="1230">
        <v>3</v>
      </c>
      <c r="R18" s="1222">
        <f t="shared" si="5"/>
        <v>3</v>
      </c>
      <c r="S18" s="1224" t="e">
        <f t="shared" si="2"/>
        <v>#DIV/0!</v>
      </c>
    </row>
    <row r="19" spans="1:19" ht="18.75" customHeight="1">
      <c r="A19" s="845" t="s">
        <v>75</v>
      </c>
      <c r="B19" s="1179" t="s">
        <v>807</v>
      </c>
      <c r="C19" s="1222">
        <f t="shared" si="3"/>
        <v>34</v>
      </c>
      <c r="D19" s="1225">
        <v>17</v>
      </c>
      <c r="E19" s="1226">
        <v>17</v>
      </c>
      <c r="F19" s="1227"/>
      <c r="G19" s="1228"/>
      <c r="H19" s="1222">
        <f t="shared" si="6"/>
        <v>34</v>
      </c>
      <c r="I19" s="1222">
        <f t="shared" si="4"/>
        <v>16</v>
      </c>
      <c r="J19" s="1226">
        <v>12</v>
      </c>
      <c r="K19" s="1226"/>
      <c r="L19" s="1226">
        <v>4</v>
      </c>
      <c r="M19" s="1227"/>
      <c r="N19" s="1229"/>
      <c r="O19" s="1229"/>
      <c r="P19" s="1229"/>
      <c r="Q19" s="1230">
        <v>18</v>
      </c>
      <c r="R19" s="1222">
        <f t="shared" si="5"/>
        <v>22</v>
      </c>
      <c r="S19" s="1224">
        <f t="shared" si="2"/>
        <v>0.75</v>
      </c>
    </row>
    <row r="20" spans="1:19" ht="18.75" customHeight="1">
      <c r="A20" s="845" t="s">
        <v>76</v>
      </c>
      <c r="B20" s="1178" t="s">
        <v>727</v>
      </c>
      <c r="C20" s="1222">
        <f t="shared" si="3"/>
        <v>4</v>
      </c>
      <c r="D20" s="1225">
        <v>4</v>
      </c>
      <c r="E20" s="1226">
        <v>0</v>
      </c>
      <c r="F20" s="1227"/>
      <c r="G20" s="1228"/>
      <c r="H20" s="1222">
        <f t="shared" si="6"/>
        <v>4</v>
      </c>
      <c r="I20" s="1222">
        <f t="shared" si="4"/>
        <v>0</v>
      </c>
      <c r="J20" s="1226">
        <v>0</v>
      </c>
      <c r="K20" s="1226">
        <v>0</v>
      </c>
      <c r="L20" s="1226">
        <v>0</v>
      </c>
      <c r="M20" s="1227">
        <v>0</v>
      </c>
      <c r="N20" s="1229">
        <v>0</v>
      </c>
      <c r="O20" s="1229">
        <v>0</v>
      </c>
      <c r="P20" s="1229">
        <v>0</v>
      </c>
      <c r="Q20" s="1230">
        <v>4</v>
      </c>
      <c r="R20" s="1222">
        <f t="shared" si="5"/>
        <v>4</v>
      </c>
      <c r="S20" s="1224" t="e">
        <f t="shared" si="2"/>
        <v>#DIV/0!</v>
      </c>
    </row>
    <row r="21" spans="1:19" ht="18.75" customHeight="1">
      <c r="A21" s="845" t="s">
        <v>77</v>
      </c>
      <c r="B21" s="1178" t="s">
        <v>669</v>
      </c>
      <c r="C21" s="1222">
        <f t="shared" si="3"/>
        <v>5</v>
      </c>
      <c r="D21" s="1225">
        <v>5</v>
      </c>
      <c r="E21" s="1226">
        <v>0</v>
      </c>
      <c r="F21" s="1227"/>
      <c r="G21" s="1228"/>
      <c r="H21" s="1222">
        <f t="shared" si="6"/>
        <v>5</v>
      </c>
      <c r="I21" s="1222">
        <f t="shared" si="4"/>
        <v>2</v>
      </c>
      <c r="J21" s="1226">
        <v>0</v>
      </c>
      <c r="K21" s="1226">
        <v>1</v>
      </c>
      <c r="L21" s="1226">
        <v>1</v>
      </c>
      <c r="M21" s="1227"/>
      <c r="N21" s="1229"/>
      <c r="O21" s="1229"/>
      <c r="P21" s="1229"/>
      <c r="Q21" s="1230">
        <v>3</v>
      </c>
      <c r="R21" s="1222">
        <f t="shared" si="5"/>
        <v>4</v>
      </c>
      <c r="S21" s="1224">
        <f t="shared" si="2"/>
        <v>0.5</v>
      </c>
    </row>
    <row r="22" spans="1:19" ht="20.25" customHeight="1">
      <c r="A22" s="845" t="s">
        <v>100</v>
      </c>
      <c r="B22" s="1180" t="s">
        <v>670</v>
      </c>
      <c r="C22" s="1222">
        <f t="shared" si="3"/>
        <v>1</v>
      </c>
      <c r="D22" s="1225">
        <v>1</v>
      </c>
      <c r="E22" s="1226">
        <v>0</v>
      </c>
      <c r="F22" s="1227"/>
      <c r="G22" s="1228"/>
      <c r="H22" s="1222">
        <f t="shared" si="6"/>
        <v>1</v>
      </c>
      <c r="I22" s="1222">
        <f t="shared" si="4"/>
        <v>0</v>
      </c>
      <c r="J22" s="1226">
        <v>0</v>
      </c>
      <c r="K22" s="1226">
        <v>0</v>
      </c>
      <c r="L22" s="1226">
        <v>0</v>
      </c>
      <c r="M22" s="1227">
        <v>0</v>
      </c>
      <c r="N22" s="1229">
        <v>0</v>
      </c>
      <c r="O22" s="1229">
        <v>0</v>
      </c>
      <c r="P22" s="1229">
        <v>0</v>
      </c>
      <c r="Q22" s="1230">
        <v>1</v>
      </c>
      <c r="R22" s="1222">
        <f t="shared" si="5"/>
        <v>1</v>
      </c>
      <c r="S22" s="1224" t="e">
        <f t="shared" si="2"/>
        <v>#DIV/0!</v>
      </c>
    </row>
    <row r="23" spans="1:19" ht="18.75" customHeight="1">
      <c r="A23" s="499" t="s">
        <v>1</v>
      </c>
      <c r="B23" s="974" t="s">
        <v>18</v>
      </c>
      <c r="C23" s="1238"/>
      <c r="D23" s="1238"/>
      <c r="E23" s="1238"/>
      <c r="F23" s="1238"/>
      <c r="G23" s="1238"/>
      <c r="H23" s="1238"/>
      <c r="I23" s="1238"/>
      <c r="J23" s="1238"/>
      <c r="K23" s="1238"/>
      <c r="L23" s="1238"/>
      <c r="M23" s="1238"/>
      <c r="N23" s="1238"/>
      <c r="O23" s="1238"/>
      <c r="P23" s="1238"/>
      <c r="Q23" s="1238"/>
      <c r="R23" s="1239"/>
      <c r="S23" s="1224"/>
    </row>
    <row r="24" spans="1:19" ht="27.75" customHeight="1">
      <c r="A24" s="499" t="s">
        <v>51</v>
      </c>
      <c r="B24" s="500" t="s">
        <v>672</v>
      </c>
      <c r="C24" s="1220">
        <f>D24+E24</f>
        <v>923</v>
      </c>
      <c r="D24" s="1220">
        <f>SUM(D25:D32)</f>
        <v>353</v>
      </c>
      <c r="E24" s="1220">
        <f>SUM(E25:E32)</f>
        <v>570</v>
      </c>
      <c r="F24" s="1220">
        <f>SUM(F25:F32)</f>
        <v>10</v>
      </c>
      <c r="G24" s="1220">
        <f>SUM(G25:G32)</f>
        <v>0</v>
      </c>
      <c r="H24" s="1220">
        <f>I24+Q24</f>
        <v>913</v>
      </c>
      <c r="I24" s="1220">
        <f>SUM(J24:P24)</f>
        <v>640</v>
      </c>
      <c r="J24" s="1220">
        <f aca="true" t="shared" si="7" ref="J24:R24">SUM(J25:J32)</f>
        <v>481</v>
      </c>
      <c r="K24" s="1220">
        <f t="shared" si="7"/>
        <v>9</v>
      </c>
      <c r="L24" s="1220">
        <f t="shared" si="7"/>
        <v>119</v>
      </c>
      <c r="M24" s="1220">
        <f t="shared" si="7"/>
        <v>28</v>
      </c>
      <c r="N24" s="1220">
        <f t="shared" si="7"/>
        <v>0</v>
      </c>
      <c r="O24" s="1220">
        <f t="shared" si="7"/>
        <v>0</v>
      </c>
      <c r="P24" s="1220">
        <f t="shared" si="7"/>
        <v>3</v>
      </c>
      <c r="Q24" s="1220">
        <f t="shared" si="7"/>
        <v>273</v>
      </c>
      <c r="R24" s="1220">
        <f t="shared" si="7"/>
        <v>423</v>
      </c>
      <c r="S24" s="1221">
        <f t="shared" si="2"/>
        <v>0.765625</v>
      </c>
    </row>
    <row r="25" spans="1:19" ht="18.75" customHeight="1">
      <c r="A25" s="845" t="s">
        <v>51</v>
      </c>
      <c r="B25" s="1181" t="s">
        <v>673</v>
      </c>
      <c r="C25" s="1222">
        <f>D25+E25</f>
        <v>7</v>
      </c>
      <c r="D25" s="1240">
        <v>0</v>
      </c>
      <c r="E25" s="1240">
        <v>7</v>
      </c>
      <c r="F25" s="1240">
        <v>0</v>
      </c>
      <c r="G25" s="1240">
        <v>0</v>
      </c>
      <c r="H25" s="1222">
        <f>I25+Q25</f>
        <v>7</v>
      </c>
      <c r="I25" s="1222">
        <f aca="true" t="shared" si="8" ref="I25:I63">SUM(J25:P25)</f>
        <v>7</v>
      </c>
      <c r="J25" s="1240">
        <v>7</v>
      </c>
      <c r="K25" s="1240">
        <v>0</v>
      </c>
      <c r="L25" s="1240">
        <v>0</v>
      </c>
      <c r="M25" s="1240">
        <v>0</v>
      </c>
      <c r="N25" s="1240">
        <v>0</v>
      </c>
      <c r="O25" s="1240">
        <v>0</v>
      </c>
      <c r="P25" s="1240">
        <v>0</v>
      </c>
      <c r="Q25" s="1240">
        <v>0</v>
      </c>
      <c r="R25" s="1222">
        <f aca="true" t="shared" si="9" ref="R25:R50">(C25-F25-J25-K25)+G25</f>
        <v>0</v>
      </c>
      <c r="S25" s="1224">
        <f t="shared" si="2"/>
        <v>1</v>
      </c>
    </row>
    <row r="26" spans="1:19" ht="18.75" customHeight="1">
      <c r="A26" s="845" t="s">
        <v>52</v>
      </c>
      <c r="B26" s="813" t="s">
        <v>674</v>
      </c>
      <c r="C26" s="1222">
        <f aca="true" t="shared" si="10" ref="C26:C50">D26+E26</f>
        <v>104</v>
      </c>
      <c r="D26" s="1240">
        <v>37</v>
      </c>
      <c r="E26" s="1240">
        <v>67</v>
      </c>
      <c r="F26" s="1240">
        <v>1</v>
      </c>
      <c r="G26" s="1240">
        <v>0</v>
      </c>
      <c r="H26" s="1222">
        <f aca="true" t="shared" si="11" ref="H26:H63">I26+Q26</f>
        <v>103</v>
      </c>
      <c r="I26" s="1222">
        <f t="shared" si="8"/>
        <v>71</v>
      </c>
      <c r="J26" s="1240">
        <v>55</v>
      </c>
      <c r="K26" s="1240">
        <v>2</v>
      </c>
      <c r="L26" s="1240">
        <v>11</v>
      </c>
      <c r="M26" s="1240">
        <v>3</v>
      </c>
      <c r="N26" s="1240">
        <v>0</v>
      </c>
      <c r="O26" s="1240"/>
      <c r="P26" s="1240">
        <v>0</v>
      </c>
      <c r="Q26" s="1240">
        <v>32</v>
      </c>
      <c r="R26" s="1222">
        <f t="shared" si="9"/>
        <v>46</v>
      </c>
      <c r="S26" s="1224">
        <f t="shared" si="2"/>
        <v>0.8028169014084507</v>
      </c>
    </row>
    <row r="27" spans="1:19" ht="18.75" customHeight="1">
      <c r="A27" s="845" t="s">
        <v>57</v>
      </c>
      <c r="B27" s="1181" t="s">
        <v>675</v>
      </c>
      <c r="C27" s="1222">
        <f t="shared" si="10"/>
        <v>75</v>
      </c>
      <c r="D27" s="1240">
        <v>33</v>
      </c>
      <c r="E27" s="1240">
        <v>42</v>
      </c>
      <c r="F27" s="1240">
        <v>0</v>
      </c>
      <c r="G27" s="1240">
        <v>0</v>
      </c>
      <c r="H27" s="1222">
        <f t="shared" si="11"/>
        <v>75</v>
      </c>
      <c r="I27" s="1222">
        <f t="shared" si="8"/>
        <v>50</v>
      </c>
      <c r="J27" s="1240">
        <v>38</v>
      </c>
      <c r="K27" s="1240">
        <v>1</v>
      </c>
      <c r="L27" s="1240">
        <v>11</v>
      </c>
      <c r="M27" s="1240">
        <v>0</v>
      </c>
      <c r="N27" s="1240"/>
      <c r="O27" s="1240"/>
      <c r="P27" s="1240">
        <v>0</v>
      </c>
      <c r="Q27" s="1240">
        <v>25</v>
      </c>
      <c r="R27" s="1222">
        <f>(C27-F27-J27-K27)+G27</f>
        <v>36</v>
      </c>
      <c r="S27" s="1224">
        <f t="shared" si="2"/>
        <v>0.78</v>
      </c>
    </row>
    <row r="28" spans="1:19" ht="18.75" customHeight="1">
      <c r="A28" s="845" t="s">
        <v>72</v>
      </c>
      <c r="B28" s="813" t="s">
        <v>792</v>
      </c>
      <c r="C28" s="1222">
        <f t="shared" si="10"/>
        <v>195</v>
      </c>
      <c r="D28" s="1240">
        <v>92</v>
      </c>
      <c r="E28" s="1240">
        <v>103</v>
      </c>
      <c r="F28" s="1240">
        <v>2</v>
      </c>
      <c r="G28" s="1240">
        <v>0</v>
      </c>
      <c r="H28" s="1222">
        <f t="shared" si="11"/>
        <v>193</v>
      </c>
      <c r="I28" s="1222">
        <f t="shared" si="8"/>
        <v>130</v>
      </c>
      <c r="J28" s="1240">
        <v>87</v>
      </c>
      <c r="K28" s="1240">
        <v>0</v>
      </c>
      <c r="L28" s="1240">
        <v>30</v>
      </c>
      <c r="M28" s="1240">
        <v>10</v>
      </c>
      <c r="N28" s="1240"/>
      <c r="O28" s="1240"/>
      <c r="P28" s="1240">
        <v>3</v>
      </c>
      <c r="Q28" s="1240">
        <v>63</v>
      </c>
      <c r="R28" s="1222">
        <f t="shared" si="9"/>
        <v>106</v>
      </c>
      <c r="S28" s="1224">
        <f t="shared" si="2"/>
        <v>0.6692307692307692</v>
      </c>
    </row>
    <row r="29" spans="1:19" ht="18.75" customHeight="1">
      <c r="A29" s="845" t="s">
        <v>73</v>
      </c>
      <c r="B29" s="813" t="s">
        <v>793</v>
      </c>
      <c r="C29" s="1222">
        <f t="shared" si="10"/>
        <v>180</v>
      </c>
      <c r="D29" s="1240">
        <v>78</v>
      </c>
      <c r="E29" s="1240">
        <v>102</v>
      </c>
      <c r="F29" s="1240">
        <v>3</v>
      </c>
      <c r="G29" s="1240">
        <v>0</v>
      </c>
      <c r="H29" s="1222">
        <f t="shared" si="11"/>
        <v>177</v>
      </c>
      <c r="I29" s="1222">
        <f t="shared" si="8"/>
        <v>125</v>
      </c>
      <c r="J29" s="1240">
        <v>82</v>
      </c>
      <c r="K29" s="1240">
        <v>0</v>
      </c>
      <c r="L29" s="1240">
        <v>29</v>
      </c>
      <c r="M29" s="1240">
        <v>14</v>
      </c>
      <c r="N29" s="1240"/>
      <c r="O29" s="1240"/>
      <c r="P29" s="1240">
        <v>0</v>
      </c>
      <c r="Q29" s="1240">
        <v>52</v>
      </c>
      <c r="R29" s="1222">
        <f t="shared" si="9"/>
        <v>95</v>
      </c>
      <c r="S29" s="1224">
        <f t="shared" si="2"/>
        <v>0.656</v>
      </c>
    </row>
    <row r="30" spans="1:19" ht="18.75" customHeight="1">
      <c r="A30" s="845" t="s">
        <v>74</v>
      </c>
      <c r="B30" s="1181" t="s">
        <v>794</v>
      </c>
      <c r="C30" s="1222">
        <f t="shared" si="10"/>
        <v>122</v>
      </c>
      <c r="D30" s="1240">
        <v>37</v>
      </c>
      <c r="E30" s="1240">
        <v>85</v>
      </c>
      <c r="F30" s="1240">
        <v>3</v>
      </c>
      <c r="G30" s="1240">
        <v>0</v>
      </c>
      <c r="H30" s="1222">
        <f t="shared" si="11"/>
        <v>119</v>
      </c>
      <c r="I30" s="1222">
        <f t="shared" si="8"/>
        <v>85</v>
      </c>
      <c r="J30" s="1240">
        <v>70</v>
      </c>
      <c r="K30" s="1240">
        <v>3</v>
      </c>
      <c r="L30" s="1240">
        <v>11</v>
      </c>
      <c r="M30" s="1240">
        <v>1</v>
      </c>
      <c r="N30" s="1240">
        <v>0</v>
      </c>
      <c r="O30" s="1240">
        <v>0</v>
      </c>
      <c r="P30" s="1240"/>
      <c r="Q30" s="1240">
        <v>34</v>
      </c>
      <c r="R30" s="1222">
        <f t="shared" si="9"/>
        <v>46</v>
      </c>
      <c r="S30" s="1224">
        <f t="shared" si="2"/>
        <v>0.8588235294117647</v>
      </c>
    </row>
    <row r="31" spans="1:19" ht="18.75" customHeight="1">
      <c r="A31" s="845" t="s">
        <v>75</v>
      </c>
      <c r="B31" s="1181" t="s">
        <v>678</v>
      </c>
      <c r="C31" s="1222">
        <f t="shared" si="10"/>
        <v>196</v>
      </c>
      <c r="D31" s="1240">
        <v>60</v>
      </c>
      <c r="E31" s="1240">
        <v>136</v>
      </c>
      <c r="F31" s="1240">
        <v>1</v>
      </c>
      <c r="G31" s="1240">
        <v>0</v>
      </c>
      <c r="H31" s="1222">
        <f t="shared" si="11"/>
        <v>195</v>
      </c>
      <c r="I31" s="1222">
        <f t="shared" si="8"/>
        <v>145</v>
      </c>
      <c r="J31" s="1240">
        <v>122</v>
      </c>
      <c r="K31" s="1240">
        <v>3</v>
      </c>
      <c r="L31" s="1240">
        <v>20</v>
      </c>
      <c r="M31" s="1240">
        <v>0</v>
      </c>
      <c r="N31" s="1240">
        <v>0</v>
      </c>
      <c r="O31" s="1240">
        <v>0</v>
      </c>
      <c r="P31" s="1240"/>
      <c r="Q31" s="1240">
        <v>50</v>
      </c>
      <c r="R31" s="1222">
        <f t="shared" si="9"/>
        <v>70</v>
      </c>
      <c r="S31" s="1224">
        <f t="shared" si="2"/>
        <v>0.8620689655172413</v>
      </c>
    </row>
    <row r="32" spans="1:19" ht="18.75" customHeight="1">
      <c r="A32" s="845" t="s">
        <v>76</v>
      </c>
      <c r="B32" s="1181" t="s">
        <v>802</v>
      </c>
      <c r="C32" s="1222">
        <f t="shared" si="10"/>
        <v>44</v>
      </c>
      <c r="D32" s="1240">
        <v>16</v>
      </c>
      <c r="E32" s="1240">
        <v>28</v>
      </c>
      <c r="F32" s="1240">
        <v>0</v>
      </c>
      <c r="G32" s="1240">
        <v>0</v>
      </c>
      <c r="H32" s="1222">
        <f t="shared" si="11"/>
        <v>44</v>
      </c>
      <c r="I32" s="1222">
        <f t="shared" si="8"/>
        <v>27</v>
      </c>
      <c r="J32" s="1240">
        <v>20</v>
      </c>
      <c r="K32" s="1240">
        <v>0</v>
      </c>
      <c r="L32" s="1240">
        <v>7</v>
      </c>
      <c r="M32" s="1240">
        <v>0</v>
      </c>
      <c r="N32" s="1240">
        <v>0</v>
      </c>
      <c r="O32" s="1240">
        <v>0</v>
      </c>
      <c r="P32" s="1240">
        <v>0</v>
      </c>
      <c r="Q32" s="1240">
        <v>17</v>
      </c>
      <c r="R32" s="1222">
        <f>(C32-F32-J32-K32)+G32</f>
        <v>24</v>
      </c>
      <c r="S32" s="1224">
        <f t="shared" si="2"/>
        <v>0.7407407407407407</v>
      </c>
    </row>
    <row r="33" spans="1:19" ht="18.75" customHeight="1">
      <c r="A33" s="499" t="s">
        <v>52</v>
      </c>
      <c r="B33" s="812" t="s">
        <v>679</v>
      </c>
      <c r="C33" s="1220">
        <f>D33+E33</f>
        <v>652</v>
      </c>
      <c r="D33" s="1220">
        <f>SUM(D34:D39)</f>
        <v>230</v>
      </c>
      <c r="E33" s="1220">
        <f>SUM(E34:E39)</f>
        <v>422</v>
      </c>
      <c r="F33" s="1220">
        <f>SUM(F34:F39)</f>
        <v>4</v>
      </c>
      <c r="G33" s="1220">
        <f aca="true" t="shared" si="12" ref="G33:Q33">SUM(G34:G39)</f>
        <v>0</v>
      </c>
      <c r="H33" s="1220">
        <f t="shared" si="12"/>
        <v>648</v>
      </c>
      <c r="I33" s="1220">
        <f t="shared" si="12"/>
        <v>458</v>
      </c>
      <c r="J33" s="1220">
        <f t="shared" si="12"/>
        <v>379</v>
      </c>
      <c r="K33" s="1220">
        <f t="shared" si="12"/>
        <v>10</v>
      </c>
      <c r="L33" s="1220">
        <f t="shared" si="12"/>
        <v>66</v>
      </c>
      <c r="M33" s="1220">
        <f t="shared" si="12"/>
        <v>0</v>
      </c>
      <c r="N33" s="1220">
        <f t="shared" si="12"/>
        <v>0</v>
      </c>
      <c r="O33" s="1220">
        <f t="shared" si="12"/>
        <v>0</v>
      </c>
      <c r="P33" s="1220">
        <f t="shared" si="12"/>
        <v>3</v>
      </c>
      <c r="Q33" s="1220">
        <f t="shared" si="12"/>
        <v>190</v>
      </c>
      <c r="R33" s="1220">
        <f>SUM(R34:R39)</f>
        <v>259</v>
      </c>
      <c r="S33" s="1221">
        <f t="shared" si="2"/>
        <v>0.8493449781659389</v>
      </c>
    </row>
    <row r="34" spans="1:19" ht="18.75" customHeight="1">
      <c r="A34" s="845" t="s">
        <v>51</v>
      </c>
      <c r="B34" s="813" t="s">
        <v>680</v>
      </c>
      <c r="C34" s="1222">
        <f t="shared" si="10"/>
        <v>69</v>
      </c>
      <c r="D34" s="1228">
        <v>20</v>
      </c>
      <c r="E34" s="1228">
        <v>49</v>
      </c>
      <c r="F34" s="1228">
        <v>0</v>
      </c>
      <c r="G34" s="1241"/>
      <c r="H34" s="1222">
        <f t="shared" si="11"/>
        <v>69</v>
      </c>
      <c r="I34" s="1222">
        <f t="shared" si="8"/>
        <v>52</v>
      </c>
      <c r="J34" s="1228">
        <v>48</v>
      </c>
      <c r="K34" s="1242">
        <v>0</v>
      </c>
      <c r="L34" s="1228">
        <v>3</v>
      </c>
      <c r="M34" s="1228">
        <v>0</v>
      </c>
      <c r="N34" s="1228">
        <v>0</v>
      </c>
      <c r="O34" s="1228">
        <v>0</v>
      </c>
      <c r="P34" s="1228">
        <v>1</v>
      </c>
      <c r="Q34" s="1228">
        <v>17</v>
      </c>
      <c r="R34" s="1222">
        <f t="shared" si="9"/>
        <v>21</v>
      </c>
      <c r="S34" s="1224">
        <f t="shared" si="2"/>
        <v>0.9230769230769231</v>
      </c>
    </row>
    <row r="35" spans="1:19" ht="18.75" customHeight="1">
      <c r="A35" s="845" t="s">
        <v>52</v>
      </c>
      <c r="B35" s="813" t="s">
        <v>681</v>
      </c>
      <c r="C35" s="1222">
        <f t="shared" si="10"/>
        <v>132</v>
      </c>
      <c r="D35" s="1242">
        <v>61</v>
      </c>
      <c r="E35" s="1242">
        <v>71</v>
      </c>
      <c r="F35" s="1242">
        <v>2</v>
      </c>
      <c r="G35" s="1241"/>
      <c r="H35" s="1222">
        <f t="shared" si="11"/>
        <v>130</v>
      </c>
      <c r="I35" s="1222">
        <f t="shared" si="8"/>
        <v>80</v>
      </c>
      <c r="J35" s="1242">
        <v>61</v>
      </c>
      <c r="K35" s="1242">
        <v>2</v>
      </c>
      <c r="L35" s="1242">
        <v>17</v>
      </c>
      <c r="M35" s="1242">
        <v>0</v>
      </c>
      <c r="N35" s="1242">
        <v>0</v>
      </c>
      <c r="O35" s="1242">
        <v>0</v>
      </c>
      <c r="P35" s="1242">
        <v>0</v>
      </c>
      <c r="Q35" s="1242">
        <v>50</v>
      </c>
      <c r="R35" s="1222">
        <f t="shared" si="9"/>
        <v>67</v>
      </c>
      <c r="S35" s="1224">
        <f t="shared" si="2"/>
        <v>0.7875</v>
      </c>
    </row>
    <row r="36" spans="1:19" ht="18.75" customHeight="1">
      <c r="A36" s="845" t="s">
        <v>57</v>
      </c>
      <c r="B36" s="813" t="s">
        <v>677</v>
      </c>
      <c r="C36" s="1222">
        <f t="shared" si="10"/>
        <v>105</v>
      </c>
      <c r="D36" s="1228">
        <v>26</v>
      </c>
      <c r="E36" s="1228">
        <v>79</v>
      </c>
      <c r="F36" s="1228">
        <v>1</v>
      </c>
      <c r="G36" s="1241"/>
      <c r="H36" s="1222">
        <f t="shared" si="11"/>
        <v>104</v>
      </c>
      <c r="I36" s="1222">
        <f t="shared" si="8"/>
        <v>77</v>
      </c>
      <c r="J36" s="1234">
        <v>65</v>
      </c>
      <c r="K36" s="1228">
        <v>2</v>
      </c>
      <c r="L36" s="1228">
        <v>10</v>
      </c>
      <c r="M36" s="1228">
        <v>0</v>
      </c>
      <c r="N36" s="1228">
        <v>0</v>
      </c>
      <c r="O36" s="1228">
        <v>0</v>
      </c>
      <c r="P36" s="1228">
        <v>0</v>
      </c>
      <c r="Q36" s="1228">
        <v>27</v>
      </c>
      <c r="R36" s="1222">
        <f t="shared" si="9"/>
        <v>37</v>
      </c>
      <c r="S36" s="1224">
        <f t="shared" si="2"/>
        <v>0.8701298701298701</v>
      </c>
    </row>
    <row r="37" spans="1:19" ht="18.75" customHeight="1">
      <c r="A37" s="845" t="s">
        <v>72</v>
      </c>
      <c r="B37" s="813" t="s">
        <v>682</v>
      </c>
      <c r="C37" s="1222">
        <f t="shared" si="10"/>
        <v>105</v>
      </c>
      <c r="D37" s="1228">
        <v>34</v>
      </c>
      <c r="E37" s="1228">
        <v>71</v>
      </c>
      <c r="F37" s="1228">
        <v>0</v>
      </c>
      <c r="G37" s="1241"/>
      <c r="H37" s="1222">
        <f t="shared" si="11"/>
        <v>105</v>
      </c>
      <c r="I37" s="1222">
        <f t="shared" si="8"/>
        <v>78</v>
      </c>
      <c r="J37" s="1228">
        <v>64</v>
      </c>
      <c r="K37" s="1228">
        <v>1</v>
      </c>
      <c r="L37" s="1228">
        <v>12</v>
      </c>
      <c r="M37" s="1228">
        <v>0</v>
      </c>
      <c r="N37" s="1228">
        <v>0</v>
      </c>
      <c r="O37" s="1228">
        <v>0</v>
      </c>
      <c r="P37" s="1228">
        <v>1</v>
      </c>
      <c r="Q37" s="1228">
        <v>27</v>
      </c>
      <c r="R37" s="1222">
        <f t="shared" si="9"/>
        <v>40</v>
      </c>
      <c r="S37" s="1224">
        <f t="shared" si="2"/>
        <v>0.8333333333333334</v>
      </c>
    </row>
    <row r="38" spans="1:19" ht="18.75" customHeight="1">
      <c r="A38" s="845" t="s">
        <v>73</v>
      </c>
      <c r="B38" s="813" t="s">
        <v>707</v>
      </c>
      <c r="C38" s="1222">
        <f t="shared" si="10"/>
        <v>114</v>
      </c>
      <c r="D38" s="1228">
        <v>42</v>
      </c>
      <c r="E38" s="1228">
        <v>72</v>
      </c>
      <c r="F38" s="1228">
        <v>1</v>
      </c>
      <c r="G38" s="1241"/>
      <c r="H38" s="1222">
        <f t="shared" si="11"/>
        <v>113</v>
      </c>
      <c r="I38" s="1222">
        <f t="shared" si="8"/>
        <v>74</v>
      </c>
      <c r="J38" s="1228">
        <v>66</v>
      </c>
      <c r="K38" s="1228">
        <v>1</v>
      </c>
      <c r="L38" s="1228">
        <v>7</v>
      </c>
      <c r="M38" s="1228">
        <v>0</v>
      </c>
      <c r="N38" s="1228">
        <v>0</v>
      </c>
      <c r="O38" s="1228">
        <v>0</v>
      </c>
      <c r="P38" s="1228">
        <v>0</v>
      </c>
      <c r="Q38" s="1228">
        <v>39</v>
      </c>
      <c r="R38" s="1222">
        <f t="shared" si="9"/>
        <v>46</v>
      </c>
      <c r="S38" s="1224">
        <f t="shared" si="2"/>
        <v>0.9054054054054054</v>
      </c>
    </row>
    <row r="39" spans="1:19" ht="18.75" customHeight="1">
      <c r="A39" s="845" t="s">
        <v>74</v>
      </c>
      <c r="B39" s="1181" t="s">
        <v>683</v>
      </c>
      <c r="C39" s="1222">
        <f t="shared" si="10"/>
        <v>127</v>
      </c>
      <c r="D39" s="1228">
        <v>47</v>
      </c>
      <c r="E39" s="1228">
        <v>80</v>
      </c>
      <c r="F39" s="1228">
        <v>0</v>
      </c>
      <c r="G39" s="1241"/>
      <c r="H39" s="1222">
        <f t="shared" si="11"/>
        <v>127</v>
      </c>
      <c r="I39" s="1222">
        <f t="shared" si="8"/>
        <v>97</v>
      </c>
      <c r="J39" s="1228">
        <v>75</v>
      </c>
      <c r="K39" s="1228">
        <v>4</v>
      </c>
      <c r="L39" s="1228">
        <v>17</v>
      </c>
      <c r="M39" s="1228">
        <v>0</v>
      </c>
      <c r="N39" s="1228">
        <v>0</v>
      </c>
      <c r="O39" s="1228">
        <v>0</v>
      </c>
      <c r="P39" s="1228">
        <v>1</v>
      </c>
      <c r="Q39" s="1228">
        <v>30</v>
      </c>
      <c r="R39" s="1222">
        <f t="shared" si="9"/>
        <v>48</v>
      </c>
      <c r="S39" s="1224">
        <f t="shared" si="2"/>
        <v>0.8144329896907216</v>
      </c>
    </row>
    <row r="40" spans="1:19" ht="18.75" customHeight="1">
      <c r="A40" s="499" t="s">
        <v>57</v>
      </c>
      <c r="B40" s="812" t="s">
        <v>704</v>
      </c>
      <c r="C40" s="1243">
        <f>D40+E40</f>
        <v>979</v>
      </c>
      <c r="D40" s="1220">
        <f aca="true" t="shared" si="13" ref="D40:R40">SUM(D41:D47)</f>
        <v>429</v>
      </c>
      <c r="E40" s="1220">
        <f t="shared" si="13"/>
        <v>550</v>
      </c>
      <c r="F40" s="1220">
        <f t="shared" si="13"/>
        <v>1</v>
      </c>
      <c r="G40" s="1220">
        <f t="shared" si="13"/>
        <v>0</v>
      </c>
      <c r="H40" s="1220">
        <f t="shared" si="13"/>
        <v>978</v>
      </c>
      <c r="I40" s="1220">
        <f t="shared" si="13"/>
        <v>660</v>
      </c>
      <c r="J40" s="1220">
        <f t="shared" si="13"/>
        <v>541</v>
      </c>
      <c r="K40" s="1220">
        <f t="shared" si="13"/>
        <v>8</v>
      </c>
      <c r="L40" s="1220">
        <f t="shared" si="13"/>
        <v>95</v>
      </c>
      <c r="M40" s="1220">
        <f t="shared" si="13"/>
        <v>7</v>
      </c>
      <c r="N40" s="1220">
        <f t="shared" si="13"/>
        <v>0</v>
      </c>
      <c r="O40" s="1220">
        <f t="shared" si="13"/>
        <v>0</v>
      </c>
      <c r="P40" s="1220">
        <f t="shared" si="13"/>
        <v>9</v>
      </c>
      <c r="Q40" s="1220">
        <f t="shared" si="13"/>
        <v>318</v>
      </c>
      <c r="R40" s="1220">
        <f t="shared" si="13"/>
        <v>429</v>
      </c>
      <c r="S40" s="1221">
        <f t="shared" si="2"/>
        <v>0.8318181818181818</v>
      </c>
    </row>
    <row r="41" spans="1:19" ht="18.75" customHeight="1">
      <c r="A41" s="845" t="s">
        <v>51</v>
      </c>
      <c r="B41" s="1182" t="s">
        <v>684</v>
      </c>
      <c r="C41" s="1222">
        <f t="shared" si="10"/>
        <v>30</v>
      </c>
      <c r="D41" s="1240">
        <v>13</v>
      </c>
      <c r="E41" s="1240">
        <v>17</v>
      </c>
      <c r="F41" s="1240">
        <v>0</v>
      </c>
      <c r="G41" s="1241">
        <v>0</v>
      </c>
      <c r="H41" s="1222">
        <f aca="true" t="shared" si="14" ref="H41:H47">I41+Q41</f>
        <v>30</v>
      </c>
      <c r="I41" s="1222">
        <f t="shared" si="8"/>
        <v>21</v>
      </c>
      <c r="J41" s="1240">
        <v>20</v>
      </c>
      <c r="K41" s="1240">
        <v>0</v>
      </c>
      <c r="L41" s="1240">
        <v>0</v>
      </c>
      <c r="M41" s="1240">
        <v>0</v>
      </c>
      <c r="N41" s="1240">
        <v>0</v>
      </c>
      <c r="O41" s="1240">
        <v>0</v>
      </c>
      <c r="P41" s="1240">
        <v>1</v>
      </c>
      <c r="Q41" s="1240">
        <v>9</v>
      </c>
      <c r="R41" s="1222">
        <f t="shared" si="9"/>
        <v>10</v>
      </c>
      <c r="S41" s="1224">
        <f t="shared" si="2"/>
        <v>0.9523809523809523</v>
      </c>
    </row>
    <row r="42" spans="1:19" ht="18.75" customHeight="1">
      <c r="A42" s="845" t="s">
        <v>52</v>
      </c>
      <c r="B42" s="1182" t="s">
        <v>685</v>
      </c>
      <c r="C42" s="1222">
        <f t="shared" si="10"/>
        <v>126</v>
      </c>
      <c r="D42" s="1240">
        <v>69</v>
      </c>
      <c r="E42" s="1240">
        <v>57</v>
      </c>
      <c r="F42" s="1240">
        <v>0</v>
      </c>
      <c r="G42" s="1241">
        <v>0</v>
      </c>
      <c r="H42" s="1222">
        <f t="shared" si="14"/>
        <v>126</v>
      </c>
      <c r="I42" s="1222">
        <f aca="true" t="shared" si="15" ref="I42:I47">J42+K42+L42+M42+N42+O42+P42</f>
        <v>70</v>
      </c>
      <c r="J42" s="1240">
        <v>55</v>
      </c>
      <c r="K42" s="1240">
        <v>3</v>
      </c>
      <c r="L42" s="1240">
        <v>11</v>
      </c>
      <c r="M42" s="1240">
        <v>0</v>
      </c>
      <c r="N42" s="1240">
        <v>0</v>
      </c>
      <c r="O42" s="1240">
        <v>0</v>
      </c>
      <c r="P42" s="1240">
        <v>1</v>
      </c>
      <c r="Q42" s="1240">
        <v>56</v>
      </c>
      <c r="R42" s="1222">
        <f t="shared" si="9"/>
        <v>68</v>
      </c>
      <c r="S42" s="1224">
        <f t="shared" si="2"/>
        <v>0.8285714285714286</v>
      </c>
    </row>
    <row r="43" spans="1:19" ht="18.75" customHeight="1">
      <c r="A43" s="845" t="s">
        <v>57</v>
      </c>
      <c r="B43" s="1182" t="s">
        <v>686</v>
      </c>
      <c r="C43" s="1222">
        <f t="shared" si="10"/>
        <v>195</v>
      </c>
      <c r="D43" s="1240">
        <v>50</v>
      </c>
      <c r="E43" s="1240">
        <v>145</v>
      </c>
      <c r="F43" s="1240">
        <v>1</v>
      </c>
      <c r="G43" s="1241">
        <v>0</v>
      </c>
      <c r="H43" s="1222">
        <f t="shared" si="14"/>
        <v>194</v>
      </c>
      <c r="I43" s="1222">
        <f t="shared" si="15"/>
        <v>154</v>
      </c>
      <c r="J43" s="1240">
        <v>142</v>
      </c>
      <c r="K43" s="1240">
        <v>1</v>
      </c>
      <c r="L43" s="1240">
        <v>11</v>
      </c>
      <c r="M43" s="1240">
        <v>0</v>
      </c>
      <c r="N43" s="1240">
        <v>0</v>
      </c>
      <c r="O43" s="1240">
        <v>0</v>
      </c>
      <c r="P43" s="1240">
        <v>0</v>
      </c>
      <c r="Q43" s="1240">
        <v>40</v>
      </c>
      <c r="R43" s="1222">
        <f t="shared" si="9"/>
        <v>51</v>
      </c>
      <c r="S43" s="1224">
        <f t="shared" si="2"/>
        <v>0.9285714285714286</v>
      </c>
    </row>
    <row r="44" spans="1:19" ht="18.75" customHeight="1">
      <c r="A44" s="845" t="s">
        <v>72</v>
      </c>
      <c r="B44" s="1182" t="s">
        <v>687</v>
      </c>
      <c r="C44" s="1222">
        <f t="shared" si="10"/>
        <v>139</v>
      </c>
      <c r="D44" s="1240">
        <v>72</v>
      </c>
      <c r="E44" s="1240">
        <v>67</v>
      </c>
      <c r="F44" s="1240">
        <v>0</v>
      </c>
      <c r="G44" s="1241">
        <v>0</v>
      </c>
      <c r="H44" s="1222">
        <f t="shared" si="14"/>
        <v>139</v>
      </c>
      <c r="I44" s="1222">
        <f t="shared" si="15"/>
        <v>85</v>
      </c>
      <c r="J44" s="1240">
        <v>64</v>
      </c>
      <c r="K44" s="1240">
        <v>0</v>
      </c>
      <c r="L44" s="1240">
        <v>21</v>
      </c>
      <c r="M44" s="1240">
        <v>0</v>
      </c>
      <c r="N44" s="1240">
        <v>0</v>
      </c>
      <c r="O44" s="1240">
        <v>0</v>
      </c>
      <c r="P44" s="1240">
        <v>0</v>
      </c>
      <c r="Q44" s="1240">
        <v>54</v>
      </c>
      <c r="R44" s="1222">
        <f t="shared" si="9"/>
        <v>75</v>
      </c>
      <c r="S44" s="1224">
        <f t="shared" si="2"/>
        <v>0.7529411764705882</v>
      </c>
    </row>
    <row r="45" spans="1:19" ht="18.75" customHeight="1">
      <c r="A45" s="845" t="s">
        <v>73</v>
      </c>
      <c r="B45" s="1182" t="s">
        <v>668</v>
      </c>
      <c r="C45" s="1222">
        <f t="shared" si="10"/>
        <v>83</v>
      </c>
      <c r="D45" s="1240">
        <v>37</v>
      </c>
      <c r="E45" s="1240">
        <v>46</v>
      </c>
      <c r="F45" s="1240">
        <v>0</v>
      </c>
      <c r="G45" s="1241"/>
      <c r="H45" s="1222">
        <f t="shared" si="14"/>
        <v>83</v>
      </c>
      <c r="I45" s="1222">
        <f t="shared" si="15"/>
        <v>53</v>
      </c>
      <c r="J45" s="1240">
        <v>43</v>
      </c>
      <c r="K45" s="1240">
        <v>0</v>
      </c>
      <c r="L45" s="1240">
        <v>9</v>
      </c>
      <c r="M45" s="1240">
        <v>0</v>
      </c>
      <c r="N45" s="1240">
        <v>0</v>
      </c>
      <c r="O45" s="1240">
        <v>0</v>
      </c>
      <c r="P45" s="1240">
        <v>1</v>
      </c>
      <c r="Q45" s="1240">
        <v>30</v>
      </c>
      <c r="R45" s="1222">
        <f t="shared" si="9"/>
        <v>40</v>
      </c>
      <c r="S45" s="1224">
        <f t="shared" si="2"/>
        <v>0.8113207547169812</v>
      </c>
    </row>
    <row r="46" spans="1:19" ht="18.75" customHeight="1">
      <c r="A46" s="845" t="s">
        <v>74</v>
      </c>
      <c r="B46" s="1124" t="s">
        <v>696</v>
      </c>
      <c r="C46" s="1222">
        <f t="shared" si="10"/>
        <v>233</v>
      </c>
      <c r="D46" s="1240">
        <v>114</v>
      </c>
      <c r="E46" s="1240">
        <v>119</v>
      </c>
      <c r="F46" s="1240">
        <v>0</v>
      </c>
      <c r="G46" s="1241">
        <v>0</v>
      </c>
      <c r="H46" s="1222">
        <f t="shared" si="14"/>
        <v>233</v>
      </c>
      <c r="I46" s="1222">
        <f t="shared" si="15"/>
        <v>152</v>
      </c>
      <c r="J46" s="1240">
        <v>114</v>
      </c>
      <c r="K46" s="1240">
        <v>4</v>
      </c>
      <c r="L46" s="1240">
        <v>25</v>
      </c>
      <c r="M46" s="1240">
        <v>4</v>
      </c>
      <c r="N46" s="1240">
        <v>0</v>
      </c>
      <c r="O46" s="1240">
        <v>0</v>
      </c>
      <c r="P46" s="1240">
        <v>5</v>
      </c>
      <c r="Q46" s="1240">
        <v>81</v>
      </c>
      <c r="R46" s="1222">
        <f t="shared" si="9"/>
        <v>115</v>
      </c>
      <c r="S46" s="1224">
        <f t="shared" si="2"/>
        <v>0.7763157894736842</v>
      </c>
    </row>
    <row r="47" spans="1:19" ht="18.75" customHeight="1">
      <c r="A47" s="845" t="s">
        <v>75</v>
      </c>
      <c r="B47" s="26" t="s">
        <v>676</v>
      </c>
      <c r="C47" s="1222">
        <f t="shared" si="10"/>
        <v>173</v>
      </c>
      <c r="D47" s="1240">
        <v>74</v>
      </c>
      <c r="E47" s="1240">
        <v>99</v>
      </c>
      <c r="F47" s="1240">
        <v>0</v>
      </c>
      <c r="G47" s="1241">
        <v>0</v>
      </c>
      <c r="H47" s="1222">
        <f t="shared" si="14"/>
        <v>173</v>
      </c>
      <c r="I47" s="1222">
        <f t="shared" si="15"/>
        <v>125</v>
      </c>
      <c r="J47" s="1240">
        <v>103</v>
      </c>
      <c r="K47" s="1240">
        <v>0</v>
      </c>
      <c r="L47" s="1240">
        <v>18</v>
      </c>
      <c r="M47" s="1240">
        <v>3</v>
      </c>
      <c r="N47" s="1240">
        <v>0</v>
      </c>
      <c r="O47" s="1240">
        <v>0</v>
      </c>
      <c r="P47" s="1240">
        <v>1</v>
      </c>
      <c r="Q47" s="1240">
        <v>48</v>
      </c>
      <c r="R47" s="1222">
        <f t="shared" si="9"/>
        <v>70</v>
      </c>
      <c r="S47" s="1224">
        <f t="shared" si="2"/>
        <v>0.824</v>
      </c>
    </row>
    <row r="48" spans="1:19" ht="18.75" customHeight="1">
      <c r="A48" s="499" t="s">
        <v>72</v>
      </c>
      <c r="B48" s="812" t="s">
        <v>690</v>
      </c>
      <c r="C48" s="1220">
        <f>D48+E48</f>
        <v>460</v>
      </c>
      <c r="D48" s="1220">
        <f aca="true" t="shared" si="16" ref="D48:J48">SUM(D49:D52)</f>
        <v>124</v>
      </c>
      <c r="E48" s="1220">
        <f t="shared" si="16"/>
        <v>336</v>
      </c>
      <c r="F48" s="1220">
        <f t="shared" si="16"/>
        <v>3</v>
      </c>
      <c r="G48" s="1220">
        <f t="shared" si="16"/>
        <v>0</v>
      </c>
      <c r="H48" s="1220">
        <f t="shared" si="16"/>
        <v>457</v>
      </c>
      <c r="I48" s="1220">
        <f t="shared" si="16"/>
        <v>347</v>
      </c>
      <c r="J48" s="1220">
        <f t="shared" si="16"/>
        <v>306</v>
      </c>
      <c r="K48" s="1220">
        <f aca="true" t="shared" si="17" ref="K48:R48">SUM(K49:K52)</f>
        <v>3</v>
      </c>
      <c r="L48" s="1220">
        <f t="shared" si="17"/>
        <v>37</v>
      </c>
      <c r="M48" s="1220">
        <f t="shared" si="17"/>
        <v>1</v>
      </c>
      <c r="N48" s="1220">
        <f t="shared" si="17"/>
        <v>0</v>
      </c>
      <c r="O48" s="1220">
        <f t="shared" si="17"/>
        <v>0</v>
      </c>
      <c r="P48" s="1220">
        <f t="shared" si="17"/>
        <v>0</v>
      </c>
      <c r="Q48" s="1220">
        <f t="shared" si="17"/>
        <v>110</v>
      </c>
      <c r="R48" s="1220">
        <f t="shared" si="17"/>
        <v>148</v>
      </c>
      <c r="S48" s="1221">
        <f t="shared" si="2"/>
        <v>0.8904899135446686</v>
      </c>
    </row>
    <row r="49" spans="1:19" ht="18.75" customHeight="1">
      <c r="A49" s="845" t="s">
        <v>51</v>
      </c>
      <c r="B49" s="986" t="s">
        <v>699</v>
      </c>
      <c r="C49" s="1244">
        <f t="shared" si="10"/>
        <v>80</v>
      </c>
      <c r="D49" s="1245">
        <v>15</v>
      </c>
      <c r="E49" s="1245">
        <v>65</v>
      </c>
      <c r="F49" s="1245"/>
      <c r="G49" s="1226"/>
      <c r="H49" s="1244">
        <f>I49+Q49</f>
        <v>80</v>
      </c>
      <c r="I49" s="1244">
        <f>J49+K49+L49+M49+N49+O49+P49</f>
        <v>68</v>
      </c>
      <c r="J49" s="1245">
        <v>64</v>
      </c>
      <c r="K49" s="1245">
        <v>1</v>
      </c>
      <c r="L49" s="1245">
        <v>3</v>
      </c>
      <c r="M49" s="1245"/>
      <c r="N49" s="1245"/>
      <c r="O49" s="1245"/>
      <c r="P49" s="1246"/>
      <c r="Q49" s="1247">
        <v>12</v>
      </c>
      <c r="R49" s="1244">
        <f t="shared" si="9"/>
        <v>15</v>
      </c>
      <c r="S49" s="1248">
        <f t="shared" si="2"/>
        <v>0.9558823529411765</v>
      </c>
    </row>
    <row r="50" spans="1:19" ht="18.75" customHeight="1">
      <c r="A50" s="845" t="s">
        <v>52</v>
      </c>
      <c r="B50" s="986" t="s">
        <v>692</v>
      </c>
      <c r="C50" s="1244">
        <f t="shared" si="10"/>
        <v>131</v>
      </c>
      <c r="D50" s="1245">
        <v>40</v>
      </c>
      <c r="E50" s="1245">
        <v>91</v>
      </c>
      <c r="F50" s="1245"/>
      <c r="G50" s="1226"/>
      <c r="H50" s="1244">
        <f>I50+Q50</f>
        <v>131</v>
      </c>
      <c r="I50" s="1244">
        <f>J50+K50+L50+M50+N50+O50+P50</f>
        <v>99</v>
      </c>
      <c r="J50" s="1245">
        <v>85</v>
      </c>
      <c r="K50" s="1245">
        <v>2</v>
      </c>
      <c r="L50" s="1245">
        <v>12</v>
      </c>
      <c r="M50" s="1245"/>
      <c r="N50" s="1245"/>
      <c r="O50" s="1245"/>
      <c r="P50" s="1246"/>
      <c r="Q50" s="1247">
        <v>32</v>
      </c>
      <c r="R50" s="1244">
        <f t="shared" si="9"/>
        <v>44</v>
      </c>
      <c r="S50" s="1248">
        <f t="shared" si="2"/>
        <v>0.8787878787878788</v>
      </c>
    </row>
    <row r="51" spans="1:19" ht="18.75" customHeight="1">
      <c r="A51" s="845" t="s">
        <v>57</v>
      </c>
      <c r="B51" s="986" t="s">
        <v>688</v>
      </c>
      <c r="C51" s="1244">
        <f aca="true" t="shared" si="18" ref="C51:C60">D51+E51</f>
        <v>177</v>
      </c>
      <c r="D51" s="1245">
        <v>57</v>
      </c>
      <c r="E51" s="1245">
        <v>120</v>
      </c>
      <c r="F51" s="1245"/>
      <c r="G51" s="1226"/>
      <c r="H51" s="1244">
        <f>I51+Q51</f>
        <v>177</v>
      </c>
      <c r="I51" s="1244">
        <f>J51+K51+L51+M51+N51+O51+P51</f>
        <v>124</v>
      </c>
      <c r="J51" s="1245">
        <v>106</v>
      </c>
      <c r="K51" s="1245"/>
      <c r="L51" s="1245">
        <v>17</v>
      </c>
      <c r="M51" s="1245">
        <v>1</v>
      </c>
      <c r="N51" s="1245"/>
      <c r="O51" s="1245"/>
      <c r="P51" s="1246"/>
      <c r="Q51" s="1247">
        <v>53</v>
      </c>
      <c r="R51" s="1244">
        <f>(C51-F51-J51-K51)+G51</f>
        <v>71</v>
      </c>
      <c r="S51" s="1248">
        <f t="shared" si="2"/>
        <v>0.8548387096774194</v>
      </c>
    </row>
    <row r="52" spans="1:19" ht="18.75" customHeight="1">
      <c r="A52" s="985" t="s">
        <v>72</v>
      </c>
      <c r="B52" s="986" t="s">
        <v>804</v>
      </c>
      <c r="C52" s="1244">
        <f t="shared" si="18"/>
        <v>72</v>
      </c>
      <c r="D52" s="1240">
        <v>12</v>
      </c>
      <c r="E52" s="1245">
        <v>60</v>
      </c>
      <c r="F52" s="1240">
        <v>3</v>
      </c>
      <c r="G52" s="1226"/>
      <c r="H52" s="1244">
        <f>I52+Q52</f>
        <v>69</v>
      </c>
      <c r="I52" s="1244">
        <f>J52+K52+L52+M52+N52+O52+P52</f>
        <v>56</v>
      </c>
      <c r="J52" s="1240">
        <v>51</v>
      </c>
      <c r="K52" s="1240"/>
      <c r="L52" s="1240">
        <v>5</v>
      </c>
      <c r="M52" s="1240"/>
      <c r="N52" s="1240"/>
      <c r="O52" s="1240"/>
      <c r="P52" s="1240"/>
      <c r="Q52" s="1247">
        <v>13</v>
      </c>
      <c r="R52" s="1244">
        <f>(C52-F52-J52-K52)+G52</f>
        <v>18</v>
      </c>
      <c r="S52" s="1248">
        <f t="shared" si="2"/>
        <v>0.9107142857142857</v>
      </c>
    </row>
    <row r="53" spans="1:19" ht="18.75" customHeight="1">
      <c r="A53" s="499" t="s">
        <v>73</v>
      </c>
      <c r="B53" s="812" t="s">
        <v>693</v>
      </c>
      <c r="C53" s="1243">
        <f t="shared" si="18"/>
        <v>642</v>
      </c>
      <c r="D53" s="1243">
        <f>SUM(D54:D57)</f>
        <v>183</v>
      </c>
      <c r="E53" s="1243">
        <f>SUM(E54:E57)</f>
        <v>459</v>
      </c>
      <c r="F53" s="1243">
        <f>SUM(F54:F57)</f>
        <v>2</v>
      </c>
      <c r="G53" s="1243">
        <f>SUM(G54:G57)</f>
        <v>0</v>
      </c>
      <c r="H53" s="1243">
        <f>I53+Q53</f>
        <v>640</v>
      </c>
      <c r="I53" s="1243">
        <f>SUM(J53:P53)</f>
        <v>486</v>
      </c>
      <c r="J53" s="1243">
        <f aca="true" t="shared" si="19" ref="J53:R53">SUM(J54:J57)</f>
        <v>405</v>
      </c>
      <c r="K53" s="1243">
        <f t="shared" si="19"/>
        <v>5</v>
      </c>
      <c r="L53" s="1243">
        <f t="shared" si="19"/>
        <v>76</v>
      </c>
      <c r="M53" s="1243">
        <f t="shared" si="19"/>
        <v>0</v>
      </c>
      <c r="N53" s="1243">
        <f t="shared" si="19"/>
        <v>0</v>
      </c>
      <c r="O53" s="1243">
        <f t="shared" si="19"/>
        <v>0</v>
      </c>
      <c r="P53" s="1243">
        <f t="shared" si="19"/>
        <v>0</v>
      </c>
      <c r="Q53" s="1243">
        <f t="shared" si="19"/>
        <v>154</v>
      </c>
      <c r="R53" s="1243">
        <f t="shared" si="19"/>
        <v>230</v>
      </c>
      <c r="S53" s="1221">
        <f t="shared" si="2"/>
        <v>0.8436213991769548</v>
      </c>
    </row>
    <row r="54" spans="1:19" ht="18.75" customHeight="1">
      <c r="A54" s="845" t="s">
        <v>51</v>
      </c>
      <c r="B54" s="1183" t="s">
        <v>694</v>
      </c>
      <c r="C54" s="1222">
        <f t="shared" si="18"/>
        <v>94</v>
      </c>
      <c r="D54" s="1227">
        <v>25</v>
      </c>
      <c r="E54" s="1227">
        <v>69</v>
      </c>
      <c r="F54" s="1227"/>
      <c r="G54" s="1228">
        <v>0</v>
      </c>
      <c r="H54" s="1222">
        <f t="shared" si="11"/>
        <v>94</v>
      </c>
      <c r="I54" s="1222">
        <f t="shared" si="8"/>
        <v>69</v>
      </c>
      <c r="J54" s="1227">
        <v>59</v>
      </c>
      <c r="K54" s="1227">
        <v>1</v>
      </c>
      <c r="L54" s="1227">
        <v>9</v>
      </c>
      <c r="M54" s="1227">
        <v>0</v>
      </c>
      <c r="N54" s="1229"/>
      <c r="O54" s="1229"/>
      <c r="P54" s="1229"/>
      <c r="Q54" s="1249">
        <v>25</v>
      </c>
      <c r="R54" s="1222">
        <f>(C54-F54-J54-K54)+G54</f>
        <v>34</v>
      </c>
      <c r="S54" s="1224">
        <f t="shared" si="2"/>
        <v>0.8695652173913043</v>
      </c>
    </row>
    <row r="55" spans="1:19" ht="18.75" customHeight="1">
      <c r="A55" s="845" t="s">
        <v>52</v>
      </c>
      <c r="B55" s="1183" t="s">
        <v>695</v>
      </c>
      <c r="C55" s="1222">
        <f t="shared" si="18"/>
        <v>185</v>
      </c>
      <c r="D55" s="1227">
        <v>45</v>
      </c>
      <c r="E55" s="1227">
        <v>140</v>
      </c>
      <c r="F55" s="1227"/>
      <c r="G55" s="1228"/>
      <c r="H55" s="1222">
        <f t="shared" si="11"/>
        <v>185</v>
      </c>
      <c r="I55" s="1222">
        <f t="shared" si="8"/>
        <v>150</v>
      </c>
      <c r="J55" s="1227">
        <v>130</v>
      </c>
      <c r="K55" s="1227"/>
      <c r="L55" s="1227">
        <v>20</v>
      </c>
      <c r="M55" s="1227"/>
      <c r="N55" s="1229"/>
      <c r="O55" s="1229"/>
      <c r="P55" s="1229"/>
      <c r="Q55" s="1249">
        <v>35</v>
      </c>
      <c r="R55" s="1222">
        <f>(C55-F55-J55-K55)+G55</f>
        <v>55</v>
      </c>
      <c r="S55" s="1224">
        <f t="shared" si="2"/>
        <v>0.8666666666666667</v>
      </c>
    </row>
    <row r="56" spans="1:19" ht="18.75" customHeight="1">
      <c r="A56" s="845" t="s">
        <v>57</v>
      </c>
      <c r="B56" s="1183" t="s">
        <v>689</v>
      </c>
      <c r="C56" s="1222">
        <f t="shared" si="18"/>
        <v>193</v>
      </c>
      <c r="D56" s="1227">
        <v>53</v>
      </c>
      <c r="E56" s="1227">
        <v>140</v>
      </c>
      <c r="F56" s="1227"/>
      <c r="G56" s="1228">
        <v>0</v>
      </c>
      <c r="H56" s="1222">
        <f t="shared" si="11"/>
        <v>193</v>
      </c>
      <c r="I56" s="1222">
        <f t="shared" si="8"/>
        <v>149</v>
      </c>
      <c r="J56" s="1227">
        <v>118</v>
      </c>
      <c r="K56" s="1227">
        <v>2</v>
      </c>
      <c r="L56" s="1227">
        <v>29</v>
      </c>
      <c r="M56" s="1227"/>
      <c r="N56" s="1229"/>
      <c r="O56" s="1229"/>
      <c r="P56" s="1229"/>
      <c r="Q56" s="1249">
        <v>44</v>
      </c>
      <c r="R56" s="1222">
        <f>(C56-F56-J56-K56)+G56</f>
        <v>73</v>
      </c>
      <c r="S56" s="1224">
        <f t="shared" si="2"/>
        <v>0.8053691275167785</v>
      </c>
    </row>
    <row r="57" spans="1:19" ht="18.75" customHeight="1">
      <c r="A57" s="845" t="s">
        <v>72</v>
      </c>
      <c r="B57" s="1183" t="s">
        <v>697</v>
      </c>
      <c r="C57" s="1222">
        <f t="shared" si="18"/>
        <v>170</v>
      </c>
      <c r="D57" s="1227">
        <v>60</v>
      </c>
      <c r="E57" s="1227">
        <v>110</v>
      </c>
      <c r="F57" s="1227">
        <v>2</v>
      </c>
      <c r="G57" s="1228">
        <v>0</v>
      </c>
      <c r="H57" s="1222">
        <f t="shared" si="11"/>
        <v>168</v>
      </c>
      <c r="I57" s="1222">
        <f t="shared" si="8"/>
        <v>118</v>
      </c>
      <c r="J57" s="1227">
        <v>98</v>
      </c>
      <c r="K57" s="1227">
        <v>2</v>
      </c>
      <c r="L57" s="1227">
        <v>18</v>
      </c>
      <c r="M57" s="1227"/>
      <c r="N57" s="1229"/>
      <c r="O57" s="1229"/>
      <c r="P57" s="1229"/>
      <c r="Q57" s="1230">
        <v>50</v>
      </c>
      <c r="R57" s="1222">
        <f>(C57-F57-J57-K57)+G57</f>
        <v>68</v>
      </c>
      <c r="S57" s="1224">
        <f t="shared" si="2"/>
        <v>0.847457627118644</v>
      </c>
    </row>
    <row r="58" spans="1:19" ht="18.75" customHeight="1">
      <c r="A58" s="499" t="s">
        <v>74</v>
      </c>
      <c r="B58" s="812" t="s">
        <v>698</v>
      </c>
      <c r="C58" s="1220">
        <f t="shared" si="18"/>
        <v>160</v>
      </c>
      <c r="D58" s="1220">
        <f>SUM(D59:D60)</f>
        <v>63</v>
      </c>
      <c r="E58" s="1220">
        <f>SUM(E59:E60)</f>
        <v>97</v>
      </c>
      <c r="F58" s="1220">
        <f>SUM(F59:F60)</f>
        <v>2</v>
      </c>
      <c r="G58" s="1220">
        <f>SUM(G59:G60)</f>
        <v>0</v>
      </c>
      <c r="H58" s="1220">
        <f>I58+Q58</f>
        <v>158</v>
      </c>
      <c r="I58" s="1220">
        <f aca="true" t="shared" si="20" ref="I58:R58">SUM(I59:I60)</f>
        <v>109</v>
      </c>
      <c r="J58" s="1220">
        <f t="shared" si="20"/>
        <v>74</v>
      </c>
      <c r="K58" s="1220">
        <f t="shared" si="20"/>
        <v>0</v>
      </c>
      <c r="L58" s="1220">
        <f t="shared" si="20"/>
        <v>35</v>
      </c>
      <c r="M58" s="1220">
        <f t="shared" si="20"/>
        <v>0</v>
      </c>
      <c r="N58" s="1220">
        <f t="shared" si="20"/>
        <v>0</v>
      </c>
      <c r="O58" s="1220">
        <f t="shared" si="20"/>
        <v>0</v>
      </c>
      <c r="P58" s="1220">
        <f t="shared" si="20"/>
        <v>0</v>
      </c>
      <c r="Q58" s="1220">
        <f t="shared" si="20"/>
        <v>49</v>
      </c>
      <c r="R58" s="1220">
        <f t="shared" si="20"/>
        <v>84</v>
      </c>
      <c r="S58" s="1221">
        <f t="shared" si="2"/>
        <v>0.6788990825688074</v>
      </c>
    </row>
    <row r="59" spans="1:19" ht="18.75" customHeight="1">
      <c r="A59" s="845" t="s">
        <v>51</v>
      </c>
      <c r="B59" s="986" t="s">
        <v>691</v>
      </c>
      <c r="C59" s="1250">
        <f t="shared" si="18"/>
        <v>57</v>
      </c>
      <c r="D59" s="1251">
        <v>25</v>
      </c>
      <c r="E59" s="1251">
        <v>32</v>
      </c>
      <c r="F59" s="1251">
        <v>0</v>
      </c>
      <c r="G59" s="1251">
        <v>0</v>
      </c>
      <c r="H59" s="1250">
        <f t="shared" si="11"/>
        <v>57</v>
      </c>
      <c r="I59" s="1250">
        <f t="shared" si="8"/>
        <v>39</v>
      </c>
      <c r="J59" s="1251">
        <v>29</v>
      </c>
      <c r="K59" s="1251">
        <v>0</v>
      </c>
      <c r="L59" s="1251">
        <v>10</v>
      </c>
      <c r="M59" s="1251">
        <v>0</v>
      </c>
      <c r="N59" s="1252">
        <v>0</v>
      </c>
      <c r="O59" s="1252">
        <v>0</v>
      </c>
      <c r="P59" s="1252">
        <v>0</v>
      </c>
      <c r="Q59" s="1253">
        <v>18</v>
      </c>
      <c r="R59" s="1250">
        <f>(C59-F59-J59-K59)+G59</f>
        <v>28</v>
      </c>
      <c r="S59" s="1248">
        <f t="shared" si="2"/>
        <v>0.7435897435897436</v>
      </c>
    </row>
    <row r="60" spans="1:19" ht="23.25" customHeight="1">
      <c r="A60" s="845" t="s">
        <v>52</v>
      </c>
      <c r="B60" s="986" t="s">
        <v>700</v>
      </c>
      <c r="C60" s="1250">
        <f t="shared" si="18"/>
        <v>103</v>
      </c>
      <c r="D60" s="1251">
        <v>38</v>
      </c>
      <c r="E60" s="1251">
        <v>65</v>
      </c>
      <c r="F60" s="1251">
        <v>2</v>
      </c>
      <c r="G60" s="1251">
        <v>0</v>
      </c>
      <c r="H60" s="1250">
        <f t="shared" si="11"/>
        <v>101</v>
      </c>
      <c r="I60" s="1250">
        <f t="shared" si="8"/>
        <v>70</v>
      </c>
      <c r="J60" s="1251">
        <v>45</v>
      </c>
      <c r="K60" s="1251">
        <v>0</v>
      </c>
      <c r="L60" s="1251">
        <v>25</v>
      </c>
      <c r="M60" s="1251">
        <v>0</v>
      </c>
      <c r="N60" s="1252">
        <v>0</v>
      </c>
      <c r="O60" s="1252">
        <v>0</v>
      </c>
      <c r="P60" s="1252">
        <v>0</v>
      </c>
      <c r="Q60" s="1253">
        <v>31</v>
      </c>
      <c r="R60" s="1250">
        <f>(C60-F60-J60-K60)+G60</f>
        <v>56</v>
      </c>
      <c r="S60" s="1254">
        <f t="shared" si="2"/>
        <v>0.6428571428571429</v>
      </c>
    </row>
    <row r="61" spans="1:19" ht="18.75" customHeight="1">
      <c r="A61" s="499" t="s">
        <v>75</v>
      </c>
      <c r="B61" s="812" t="s">
        <v>701</v>
      </c>
      <c r="C61" s="1220">
        <f>E61+D61</f>
        <v>81</v>
      </c>
      <c r="D61" s="1220">
        <f>D62+D63</f>
        <v>31</v>
      </c>
      <c r="E61" s="1220">
        <f>E62+E63</f>
        <v>50</v>
      </c>
      <c r="F61" s="1220">
        <f>F62+F63</f>
        <v>0</v>
      </c>
      <c r="G61" s="1220">
        <f>G62+G63</f>
        <v>0</v>
      </c>
      <c r="H61" s="1220">
        <f>I61+Q61</f>
        <v>81</v>
      </c>
      <c r="I61" s="1220">
        <f aca="true" t="shared" si="21" ref="I61:Q61">I62+I63</f>
        <v>49</v>
      </c>
      <c r="J61" s="1220">
        <f t="shared" si="21"/>
        <v>30</v>
      </c>
      <c r="K61" s="1220">
        <f t="shared" si="21"/>
        <v>1</v>
      </c>
      <c r="L61" s="1220">
        <f t="shared" si="21"/>
        <v>18</v>
      </c>
      <c r="M61" s="1220">
        <f t="shared" si="21"/>
        <v>0</v>
      </c>
      <c r="N61" s="1220">
        <f t="shared" si="21"/>
        <v>0</v>
      </c>
      <c r="O61" s="1220">
        <f t="shared" si="21"/>
        <v>0</v>
      </c>
      <c r="P61" s="1220">
        <f t="shared" si="21"/>
        <v>0</v>
      </c>
      <c r="Q61" s="1220">
        <f t="shared" si="21"/>
        <v>32</v>
      </c>
      <c r="R61" s="1255">
        <f>(C61-F61-J61-K61)+G61</f>
        <v>50</v>
      </c>
      <c r="S61" s="1256">
        <f>SUM(J61:K61)/SUM(I61)*100%</f>
        <v>0.6326530612244898</v>
      </c>
    </row>
    <row r="62" spans="1:19" ht="18.75" customHeight="1">
      <c r="A62" s="845" t="s">
        <v>51</v>
      </c>
      <c r="B62" s="813" t="s">
        <v>702</v>
      </c>
      <c r="C62" s="1257">
        <f>D62+E62</f>
        <v>13</v>
      </c>
      <c r="D62" s="1258">
        <v>7</v>
      </c>
      <c r="E62" s="1259">
        <v>6</v>
      </c>
      <c r="F62" s="1259"/>
      <c r="G62" s="1260">
        <v>0</v>
      </c>
      <c r="H62" s="1257">
        <f t="shared" si="11"/>
        <v>13</v>
      </c>
      <c r="I62" s="1257">
        <f t="shared" si="8"/>
        <v>6</v>
      </c>
      <c r="J62" s="1261">
        <v>2</v>
      </c>
      <c r="K62" s="1261">
        <v>1</v>
      </c>
      <c r="L62" s="1261">
        <v>3</v>
      </c>
      <c r="M62" s="1261">
        <v>0</v>
      </c>
      <c r="N62" s="1261">
        <v>0</v>
      </c>
      <c r="O62" s="1261">
        <v>0</v>
      </c>
      <c r="P62" s="1261">
        <v>0</v>
      </c>
      <c r="Q62" s="1261">
        <v>7</v>
      </c>
      <c r="R62" s="1250">
        <f>(C62-F62-J62-K62)+G62</f>
        <v>10</v>
      </c>
      <c r="S62" s="1262">
        <f>SUM(J62:K62)/SUM(I62)*100%</f>
        <v>0.5</v>
      </c>
    </row>
    <row r="63" spans="1:19" ht="18.75" customHeight="1">
      <c r="A63" s="845" t="s">
        <v>52</v>
      </c>
      <c r="B63" s="813" t="s">
        <v>703</v>
      </c>
      <c r="C63" s="1257">
        <f>D63+E63</f>
        <v>68</v>
      </c>
      <c r="D63" s="1258">
        <v>24</v>
      </c>
      <c r="E63" s="1259">
        <v>44</v>
      </c>
      <c r="F63" s="1259"/>
      <c r="G63" s="1260">
        <v>0</v>
      </c>
      <c r="H63" s="1257">
        <f t="shared" si="11"/>
        <v>68</v>
      </c>
      <c r="I63" s="1257">
        <f t="shared" si="8"/>
        <v>43</v>
      </c>
      <c r="J63" s="1261">
        <v>28</v>
      </c>
      <c r="K63" s="1261">
        <v>0</v>
      </c>
      <c r="L63" s="1261">
        <v>15</v>
      </c>
      <c r="M63" s="1261">
        <v>0</v>
      </c>
      <c r="N63" s="1261">
        <v>0</v>
      </c>
      <c r="O63" s="1261">
        <v>0</v>
      </c>
      <c r="P63" s="1261">
        <v>0</v>
      </c>
      <c r="Q63" s="1261">
        <v>25</v>
      </c>
      <c r="R63" s="1250">
        <f>(C63-F63-J63-K63)+G63</f>
        <v>40</v>
      </c>
      <c r="S63" s="1262">
        <f>SUM(J63:K63)/SUM(I63)*100%</f>
        <v>0.6511627906976745</v>
      </c>
    </row>
    <row r="64" spans="1:20" ht="18.75" customHeight="1">
      <c r="A64" s="1689"/>
      <c r="B64" s="1689"/>
      <c r="C64" s="1689"/>
      <c r="D64" s="1689"/>
      <c r="E64" s="1689"/>
      <c r="F64" s="1689"/>
      <c r="G64" s="1689"/>
      <c r="H64" s="1689"/>
      <c r="I64" s="1689"/>
      <c r="J64" s="1689"/>
      <c r="K64" s="1689"/>
      <c r="L64" s="1689"/>
      <c r="M64" s="1689"/>
      <c r="N64" s="1689"/>
      <c r="O64" s="1689"/>
      <c r="P64" s="1689"/>
      <c r="Q64" s="1689"/>
      <c r="R64" s="1689"/>
      <c r="S64" s="1689"/>
      <c r="T64" s="1689"/>
    </row>
    <row r="65" spans="1:19" s="410" customFormat="1" ht="18.75" customHeight="1">
      <c r="A65" s="1670"/>
      <c r="B65" s="1670"/>
      <c r="C65" s="1670"/>
      <c r="D65" s="1670"/>
      <c r="E65" s="1670"/>
      <c r="F65" s="548"/>
      <c r="G65" s="548"/>
      <c r="H65" s="548"/>
      <c r="I65" s="548"/>
      <c r="J65" s="548"/>
      <c r="K65" s="1690" t="str">
        <f>'Thong tin'!B8</f>
        <v>Tuyên Quang, ngày 05 tháng 04 năm 2018</v>
      </c>
      <c r="L65" s="1690"/>
      <c r="M65" s="1690"/>
      <c r="N65" s="1690"/>
      <c r="O65" s="1690"/>
      <c r="P65" s="1690"/>
      <c r="Q65" s="1690"/>
      <c r="R65" s="1690"/>
      <c r="S65" s="1690"/>
    </row>
    <row r="66" spans="1:19" s="411" customFormat="1" ht="19.5" customHeight="1">
      <c r="A66" s="552"/>
      <c r="B66" s="1666" t="s">
        <v>4</v>
      </c>
      <c r="C66" s="1666"/>
      <c r="D66" s="1666"/>
      <c r="E66" s="1666"/>
      <c r="F66" s="546"/>
      <c r="G66" s="546"/>
      <c r="H66" s="546"/>
      <c r="I66" s="546"/>
      <c r="J66" s="546"/>
      <c r="K66" s="546"/>
      <c r="L66" s="546"/>
      <c r="M66" s="546"/>
      <c r="N66" s="1669" t="str">
        <f>'Thong tin'!B7</f>
        <v>CỤC TRƯỞNG</v>
      </c>
      <c r="O66" s="1669"/>
      <c r="P66" s="1669"/>
      <c r="Q66" s="1669"/>
      <c r="R66" s="1669"/>
      <c r="S66" s="1669"/>
    </row>
    <row r="67" spans="1:19" ht="18.75">
      <c r="A67" s="536"/>
      <c r="B67" s="1664"/>
      <c r="C67" s="1664"/>
      <c r="D67" s="1664"/>
      <c r="E67" s="542"/>
      <c r="F67" s="542"/>
      <c r="G67" s="542"/>
      <c r="H67" s="542"/>
      <c r="I67" s="542"/>
      <c r="J67" s="542"/>
      <c r="K67" s="542"/>
      <c r="L67" s="542"/>
      <c r="M67" s="542"/>
      <c r="N67" s="1665"/>
      <c r="O67" s="1665"/>
      <c r="P67" s="1665"/>
      <c r="Q67" s="1665"/>
      <c r="R67" s="1665"/>
      <c r="S67" s="1665"/>
    </row>
    <row r="68" spans="1:19" ht="18.75">
      <c r="A68" s="536"/>
      <c r="B68" s="536"/>
      <c r="C68" s="536"/>
      <c r="D68" s="542"/>
      <c r="E68" s="542"/>
      <c r="F68" s="542"/>
      <c r="G68" s="542"/>
      <c r="H68" s="542"/>
      <c r="I68" s="542"/>
      <c r="J68" s="542"/>
      <c r="K68" s="542"/>
      <c r="L68" s="542"/>
      <c r="M68" s="542"/>
      <c r="N68" s="542"/>
      <c r="O68" s="542"/>
      <c r="P68" s="542"/>
      <c r="Q68" s="542"/>
      <c r="R68" s="536"/>
      <c r="S68" s="536"/>
    </row>
    <row r="69" spans="1:19" ht="18.75">
      <c r="A69" s="536"/>
      <c r="B69" s="1665"/>
      <c r="C69" s="1665"/>
      <c r="D69" s="1665"/>
      <c r="E69" s="1665"/>
      <c r="F69" s="542"/>
      <c r="G69" s="542"/>
      <c r="H69" s="542"/>
      <c r="I69" s="542"/>
      <c r="J69" s="542"/>
      <c r="K69" s="542"/>
      <c r="L69" s="542"/>
      <c r="M69" s="542"/>
      <c r="N69" s="542"/>
      <c r="O69" s="542"/>
      <c r="P69" s="1665"/>
      <c r="Q69" s="1665"/>
      <c r="R69" s="1665"/>
      <c r="S69" s="536"/>
    </row>
    <row r="70" spans="1:19" ht="15.75" customHeight="1">
      <c r="A70" s="553"/>
      <c r="B70" s="536"/>
      <c r="C70" s="536"/>
      <c r="D70" s="542"/>
      <c r="E70" s="542"/>
      <c r="F70" s="542"/>
      <c r="G70" s="542"/>
      <c r="H70" s="542"/>
      <c r="I70" s="542"/>
      <c r="J70" s="542"/>
      <c r="K70" s="542"/>
      <c r="L70" s="542"/>
      <c r="M70" s="542"/>
      <c r="N70" s="542"/>
      <c r="O70" s="542"/>
      <c r="P70" s="542"/>
      <c r="Q70" s="542"/>
      <c r="R70" s="536"/>
      <c r="S70" s="536"/>
    </row>
    <row r="71" spans="1:19" ht="15.75" customHeight="1">
      <c r="A71" s="536"/>
      <c r="B71" s="1688"/>
      <c r="C71" s="1688"/>
      <c r="D71" s="1688"/>
      <c r="E71" s="1688"/>
      <c r="F71" s="1688"/>
      <c r="G71" s="1688"/>
      <c r="H71" s="1688"/>
      <c r="I71" s="1688"/>
      <c r="J71" s="1688"/>
      <c r="K71" s="1688"/>
      <c r="L71" s="1688"/>
      <c r="M71" s="1688"/>
      <c r="N71" s="1688"/>
      <c r="O71" s="1688"/>
      <c r="P71" s="542"/>
      <c r="Q71" s="542"/>
      <c r="R71" s="536"/>
      <c r="S71" s="536"/>
    </row>
    <row r="72" spans="1:19" ht="18.75">
      <c r="A72" s="547"/>
      <c r="B72" s="547"/>
      <c r="C72" s="547"/>
      <c r="D72" s="547"/>
      <c r="E72" s="547"/>
      <c r="F72" s="547"/>
      <c r="G72" s="547"/>
      <c r="H72" s="547"/>
      <c r="I72" s="547"/>
      <c r="J72" s="547"/>
      <c r="K72" s="547"/>
      <c r="L72" s="547"/>
      <c r="M72" s="547"/>
      <c r="N72" s="547"/>
      <c r="O72" s="547"/>
      <c r="P72" s="547"/>
      <c r="Q72" s="536"/>
      <c r="R72" s="536"/>
      <c r="S72" s="536"/>
    </row>
    <row r="73" spans="1:19" ht="18.75">
      <c r="A73" s="536"/>
      <c r="B73" s="536"/>
      <c r="C73" s="536"/>
      <c r="D73" s="536"/>
      <c r="E73" s="536"/>
      <c r="F73" s="536"/>
      <c r="G73" s="536"/>
      <c r="H73" s="536"/>
      <c r="I73" s="536"/>
      <c r="J73" s="536"/>
      <c r="K73" s="536"/>
      <c r="L73" s="536"/>
      <c r="M73" s="536"/>
      <c r="N73" s="536"/>
      <c r="O73" s="536"/>
      <c r="P73" s="536"/>
      <c r="Q73" s="536"/>
      <c r="R73" s="536"/>
      <c r="S73" s="536"/>
    </row>
    <row r="74" spans="1:19" ht="18.75">
      <c r="A74" s="536"/>
      <c r="B74" s="1614" t="str">
        <f>'Thong tin'!B5</f>
        <v>Duy Thị Thúy</v>
      </c>
      <c r="C74" s="1614"/>
      <c r="D74" s="1614"/>
      <c r="E74" s="1614"/>
      <c r="F74" s="536"/>
      <c r="G74" s="536"/>
      <c r="H74" s="536"/>
      <c r="I74" s="536"/>
      <c r="J74" s="536"/>
      <c r="K74" s="536"/>
      <c r="L74" s="536"/>
      <c r="M74" s="536"/>
      <c r="N74" s="1614" t="str">
        <f>'Thong tin'!B6</f>
        <v>Nguyễn Tuyên </v>
      </c>
      <c r="O74" s="1614"/>
      <c r="P74" s="1614"/>
      <c r="Q74" s="1614"/>
      <c r="R74" s="1614"/>
      <c r="S74" s="1614"/>
    </row>
    <row r="75" spans="1:19" ht="18.75">
      <c r="A75" s="466"/>
      <c r="B75" s="466"/>
      <c r="C75" s="466"/>
      <c r="D75" s="466"/>
      <c r="E75" s="466"/>
      <c r="F75" s="466"/>
      <c r="G75" s="466"/>
      <c r="H75" s="466"/>
      <c r="I75" s="466"/>
      <c r="J75" s="466"/>
      <c r="K75" s="466"/>
      <c r="L75" s="466"/>
      <c r="M75" s="466"/>
      <c r="N75" s="466"/>
      <c r="O75" s="466"/>
      <c r="P75" s="466"/>
      <c r="Q75" s="466"/>
      <c r="R75" s="466"/>
      <c r="S75" s="466"/>
    </row>
  </sheetData>
  <sheetProtection/>
  <mergeCells count="37">
    <mergeCell ref="R6:R9"/>
    <mergeCell ref="C7:C9"/>
    <mergeCell ref="N74:S74"/>
    <mergeCell ref="D7:E7"/>
    <mergeCell ref="D8:D9"/>
    <mergeCell ref="E8:E9"/>
    <mergeCell ref="J8:P8"/>
    <mergeCell ref="B74:E74"/>
    <mergeCell ref="A10:B10"/>
    <mergeCell ref="B66:E66"/>
    <mergeCell ref="N67:S67"/>
    <mergeCell ref="B71:O71"/>
    <mergeCell ref="B67:D67"/>
    <mergeCell ref="B69:E69"/>
    <mergeCell ref="P69:R69"/>
    <mergeCell ref="A64:T64"/>
    <mergeCell ref="K65:S65"/>
    <mergeCell ref="E1:O1"/>
    <mergeCell ref="E2:O2"/>
    <mergeCell ref="E3:O3"/>
    <mergeCell ref="F6:F9"/>
    <mergeCell ref="G6:G9"/>
    <mergeCell ref="H6:Q6"/>
    <mergeCell ref="C6:E6"/>
    <mergeCell ref="P4:S4"/>
    <mergeCell ref="H7:H9"/>
    <mergeCell ref="Q7:Q9"/>
    <mergeCell ref="A2:D2"/>
    <mergeCell ref="P2:S2"/>
    <mergeCell ref="A3:D3"/>
    <mergeCell ref="N66:S66"/>
    <mergeCell ref="A65:E65"/>
    <mergeCell ref="A6:B9"/>
    <mergeCell ref="I8:I9"/>
    <mergeCell ref="S6:S9"/>
    <mergeCell ref="I7:P7"/>
    <mergeCell ref="A11:B11"/>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4"/>
  <sheetViews>
    <sheetView showZeros="0" zoomScale="85" zoomScaleNormal="85" zoomScaleSheetLayoutView="85" zoomScalePageLayoutView="0" workbookViewId="0" topLeftCell="A7">
      <pane ySplit="6" topLeftCell="A16" activePane="bottomLeft" state="frozen"/>
      <selection pane="topLeft" activeCell="A7" sqref="A7"/>
      <selection pane="bottomLeft" activeCell="R11" sqref="R11"/>
    </sheetView>
  </sheetViews>
  <sheetFormatPr defaultColWidth="9.00390625" defaultRowHeight="15.75"/>
  <cols>
    <col min="1" max="1" width="4.125" style="423" customWidth="1"/>
    <col min="2" max="2" width="14.75390625" style="423" customWidth="1"/>
    <col min="3" max="3" width="12.25390625" style="423" customWidth="1"/>
    <col min="4" max="4" width="9.875" style="423" customWidth="1"/>
    <col min="5" max="5" width="10.00390625" style="423" customWidth="1"/>
    <col min="6" max="6" width="7.875" style="423" customWidth="1"/>
    <col min="7" max="7" width="6.00390625" style="423" customWidth="1"/>
    <col min="8" max="8" width="11.00390625" style="423" customWidth="1"/>
    <col min="9" max="9" width="10.25390625" style="423" customWidth="1"/>
    <col min="10" max="11" width="9.625" style="423" customWidth="1"/>
    <col min="12" max="12" width="8.50390625" style="423" customWidth="1"/>
    <col min="13" max="13" width="9.50390625" style="423" customWidth="1"/>
    <col min="14" max="14" width="9.75390625" style="423" customWidth="1"/>
    <col min="15" max="15" width="4.50390625" style="423" customWidth="1"/>
    <col min="16" max="16" width="4.625" style="423" customWidth="1"/>
    <col min="17" max="17" width="8.125" style="423" customWidth="1"/>
    <col min="18" max="18" width="10.00390625" style="423" customWidth="1"/>
    <col min="19" max="19" width="9.875" style="423" customWidth="1"/>
    <col min="20" max="20" width="6.75390625" style="423" customWidth="1"/>
    <col min="21" max="22" width="9.00390625" style="423" customWidth="1"/>
    <col min="23" max="23" width="41.50390625" style="423" customWidth="1"/>
    <col min="24" max="16384" width="9.00390625" style="423" customWidth="1"/>
  </cols>
  <sheetData>
    <row r="1" spans="1:20" s="443" customFormat="1" ht="20.25" customHeight="1">
      <c r="A1" s="903" t="s">
        <v>34</v>
      </c>
      <c r="B1" s="903"/>
      <c r="C1" s="903"/>
      <c r="D1" s="904"/>
      <c r="E1" s="1713" t="s">
        <v>724</v>
      </c>
      <c r="F1" s="1713"/>
      <c r="G1" s="1713"/>
      <c r="H1" s="1713"/>
      <c r="I1" s="1713"/>
      <c r="J1" s="1713"/>
      <c r="K1" s="1713"/>
      <c r="L1" s="1713"/>
      <c r="M1" s="1713"/>
      <c r="N1" s="1713"/>
      <c r="O1" s="1713"/>
      <c r="P1" s="1713"/>
      <c r="Q1" s="905" t="s">
        <v>563</v>
      </c>
      <c r="R1" s="905"/>
      <c r="S1" s="905"/>
      <c r="T1" s="905"/>
    </row>
    <row r="2" spans="1:20" ht="17.25" customHeight="1">
      <c r="A2" s="1707" t="s">
        <v>342</v>
      </c>
      <c r="B2" s="1707"/>
      <c r="C2" s="1707"/>
      <c r="D2" s="1707"/>
      <c r="E2" s="1714" t="s">
        <v>41</v>
      </c>
      <c r="F2" s="1714"/>
      <c r="G2" s="1714"/>
      <c r="H2" s="1714"/>
      <c r="I2" s="1714"/>
      <c r="J2" s="1714"/>
      <c r="K2" s="1714"/>
      <c r="L2" s="1714"/>
      <c r="M2" s="1714"/>
      <c r="N2" s="1714"/>
      <c r="O2" s="1714"/>
      <c r="P2" s="1714"/>
      <c r="Q2" s="1722" t="str">
        <f>'Thong tin'!B4</f>
        <v>Cục THADS tỉnh Tuyên Quang</v>
      </c>
      <c r="R2" s="1722"/>
      <c r="S2" s="1722"/>
      <c r="T2" s="1722"/>
    </row>
    <row r="3" spans="1:20" s="443" customFormat="1" ht="18" customHeight="1">
      <c r="A3" s="1707" t="s">
        <v>343</v>
      </c>
      <c r="B3" s="1707"/>
      <c r="C3" s="1707"/>
      <c r="D3" s="1707"/>
      <c r="E3" s="1715" t="str">
        <f>'Thong tin'!B3</f>
        <v>06 tháng / năm 2018</v>
      </c>
      <c r="F3" s="1715"/>
      <c r="G3" s="1715"/>
      <c r="H3" s="1715"/>
      <c r="I3" s="1715"/>
      <c r="J3" s="1715"/>
      <c r="K3" s="1715"/>
      <c r="L3" s="1715"/>
      <c r="M3" s="1715"/>
      <c r="N3" s="1715"/>
      <c r="O3" s="1715"/>
      <c r="P3" s="1715"/>
      <c r="Q3" s="905" t="s">
        <v>790</v>
      </c>
      <c r="R3" s="903"/>
      <c r="S3" s="905"/>
      <c r="T3" s="905"/>
    </row>
    <row r="4" spans="1:20" ht="14.25" customHeight="1">
      <c r="A4" s="906" t="s">
        <v>215</v>
      </c>
      <c r="B4" s="903"/>
      <c r="C4" s="903"/>
      <c r="D4" s="903"/>
      <c r="E4" s="903"/>
      <c r="F4" s="903"/>
      <c r="G4" s="903"/>
      <c r="H4" s="903"/>
      <c r="I4" s="903"/>
      <c r="J4" s="903"/>
      <c r="K4" s="903"/>
      <c r="L4" s="903"/>
      <c r="M4" s="903"/>
      <c r="N4" s="903"/>
      <c r="O4" s="907"/>
      <c r="P4" s="907"/>
      <c r="Q4" s="1709" t="s">
        <v>410</v>
      </c>
      <c r="R4" s="1709"/>
      <c r="S4" s="1709"/>
      <c r="T4" s="1709"/>
    </row>
    <row r="5" spans="1:20" s="443" customFormat="1" ht="21.75" customHeight="1" thickBot="1">
      <c r="A5" s="904"/>
      <c r="B5" s="908"/>
      <c r="C5" s="908"/>
      <c r="D5" s="904"/>
      <c r="E5" s="904"/>
      <c r="F5" s="904"/>
      <c r="G5" s="904"/>
      <c r="H5" s="904"/>
      <c r="I5" s="904"/>
      <c r="J5" s="904"/>
      <c r="K5" s="909"/>
      <c r="L5" s="904"/>
      <c r="M5" s="904"/>
      <c r="N5" s="904"/>
      <c r="O5" s="904"/>
      <c r="P5" s="904"/>
      <c r="Q5" s="1703" t="s">
        <v>564</v>
      </c>
      <c r="R5" s="1703"/>
      <c r="S5" s="1703"/>
      <c r="T5" s="1703"/>
    </row>
    <row r="6" spans="1:36" s="443" customFormat="1" ht="18.75" customHeight="1" thickTop="1">
      <c r="A6" s="1699" t="s">
        <v>71</v>
      </c>
      <c r="B6" s="1700"/>
      <c r="C6" s="1718" t="s">
        <v>216</v>
      </c>
      <c r="D6" s="1718"/>
      <c r="E6" s="1718"/>
      <c r="F6" s="1716" t="s">
        <v>133</v>
      </c>
      <c r="G6" s="1716" t="s">
        <v>217</v>
      </c>
      <c r="H6" s="1717" t="s">
        <v>136</v>
      </c>
      <c r="I6" s="1717"/>
      <c r="J6" s="1717"/>
      <c r="K6" s="1717"/>
      <c r="L6" s="1717"/>
      <c r="M6" s="1717"/>
      <c r="N6" s="1717"/>
      <c r="O6" s="1717"/>
      <c r="P6" s="1717"/>
      <c r="Q6" s="1717"/>
      <c r="R6" s="1717"/>
      <c r="S6" s="1718" t="s">
        <v>352</v>
      </c>
      <c r="T6" s="1727" t="s">
        <v>562</v>
      </c>
      <c r="U6" s="449"/>
      <c r="V6" s="449"/>
      <c r="W6" s="449"/>
      <c r="X6" s="449"/>
      <c r="Y6" s="449"/>
      <c r="Z6" s="449"/>
      <c r="AA6" s="449"/>
      <c r="AB6" s="449"/>
      <c r="AC6" s="449"/>
      <c r="AD6" s="449"/>
      <c r="AE6" s="449"/>
      <c r="AF6" s="449"/>
      <c r="AG6" s="449"/>
      <c r="AH6" s="449"/>
      <c r="AI6" s="449"/>
      <c r="AJ6" s="449"/>
    </row>
    <row r="7" spans="1:36" s="502" customFormat="1" ht="21" customHeight="1">
      <c r="A7" s="1701"/>
      <c r="B7" s="1702"/>
      <c r="C7" s="1712" t="s">
        <v>50</v>
      </c>
      <c r="D7" s="1704" t="s">
        <v>7</v>
      </c>
      <c r="E7" s="1704"/>
      <c r="F7" s="1706"/>
      <c r="G7" s="1706"/>
      <c r="H7" s="1706" t="s">
        <v>136</v>
      </c>
      <c r="I7" s="1712" t="s">
        <v>137</v>
      </c>
      <c r="J7" s="1712"/>
      <c r="K7" s="1712"/>
      <c r="L7" s="1712"/>
      <c r="M7" s="1712"/>
      <c r="N7" s="1712"/>
      <c r="O7" s="1712"/>
      <c r="P7" s="1712"/>
      <c r="Q7" s="1712"/>
      <c r="R7" s="1706" t="s">
        <v>218</v>
      </c>
      <c r="S7" s="1712"/>
      <c r="T7" s="1728"/>
      <c r="U7" s="491"/>
      <c r="V7" s="491"/>
      <c r="W7" s="491"/>
      <c r="X7" s="491"/>
      <c r="Y7" s="491"/>
      <c r="Z7" s="491"/>
      <c r="AA7" s="491"/>
      <c r="AB7" s="491"/>
      <c r="AC7" s="491"/>
      <c r="AD7" s="491"/>
      <c r="AE7" s="491"/>
      <c r="AF7" s="491"/>
      <c r="AG7" s="491"/>
      <c r="AH7" s="491"/>
      <c r="AI7" s="491"/>
      <c r="AJ7" s="491"/>
    </row>
    <row r="8" spans="1:36" s="443" customFormat="1" ht="21.75" customHeight="1">
      <c r="A8" s="1701"/>
      <c r="B8" s="1702"/>
      <c r="C8" s="1712"/>
      <c r="D8" s="1704" t="s">
        <v>219</v>
      </c>
      <c r="E8" s="1704" t="s">
        <v>220</v>
      </c>
      <c r="F8" s="1706"/>
      <c r="G8" s="1706"/>
      <c r="H8" s="1706"/>
      <c r="I8" s="1706" t="s">
        <v>561</v>
      </c>
      <c r="J8" s="1704" t="s">
        <v>7</v>
      </c>
      <c r="K8" s="1704"/>
      <c r="L8" s="1704"/>
      <c r="M8" s="1704"/>
      <c r="N8" s="1704"/>
      <c r="O8" s="1704"/>
      <c r="P8" s="1704"/>
      <c r="Q8" s="1704"/>
      <c r="R8" s="1706"/>
      <c r="S8" s="1712"/>
      <c r="T8" s="1728"/>
      <c r="U8" s="449"/>
      <c r="V8" s="449"/>
      <c r="W8" s="449"/>
      <c r="X8" s="449"/>
      <c r="Y8" s="449"/>
      <c r="Z8" s="449"/>
      <c r="AA8" s="449"/>
      <c r="AB8" s="449"/>
      <c r="AC8" s="449"/>
      <c r="AD8" s="449"/>
      <c r="AE8" s="449"/>
      <c r="AF8" s="449"/>
      <c r="AG8" s="449"/>
      <c r="AH8" s="449"/>
      <c r="AI8" s="449"/>
      <c r="AJ8" s="449"/>
    </row>
    <row r="9" spans="1:36" s="443" customFormat="1" ht="84" customHeight="1">
      <c r="A9" s="1701"/>
      <c r="B9" s="1702"/>
      <c r="C9" s="1712"/>
      <c r="D9" s="1704"/>
      <c r="E9" s="1704"/>
      <c r="F9" s="1706"/>
      <c r="G9" s="1706"/>
      <c r="H9" s="1706"/>
      <c r="I9" s="1706"/>
      <c r="J9" s="910" t="s">
        <v>221</v>
      </c>
      <c r="K9" s="910" t="s">
        <v>222</v>
      </c>
      <c r="L9" s="910" t="s">
        <v>201</v>
      </c>
      <c r="M9" s="911" t="s">
        <v>141</v>
      </c>
      <c r="N9" s="911" t="s">
        <v>223</v>
      </c>
      <c r="O9" s="911" t="s">
        <v>145</v>
      </c>
      <c r="P9" s="911" t="s">
        <v>353</v>
      </c>
      <c r="Q9" s="911" t="s">
        <v>149</v>
      </c>
      <c r="R9" s="1706"/>
      <c r="S9" s="1712"/>
      <c r="T9" s="1728"/>
      <c r="U9" s="449"/>
      <c r="V9" s="449"/>
      <c r="W9" s="449"/>
      <c r="X9" s="449"/>
      <c r="Y9" s="449"/>
      <c r="Z9" s="449"/>
      <c r="AA9" s="449"/>
      <c r="AB9" s="449"/>
      <c r="AC9" s="449"/>
      <c r="AD9" s="449"/>
      <c r="AE9" s="449"/>
      <c r="AF9" s="449"/>
      <c r="AG9" s="449"/>
      <c r="AH9" s="449"/>
      <c r="AI9" s="449"/>
      <c r="AJ9" s="449"/>
    </row>
    <row r="10" spans="1:20" s="443" customFormat="1" ht="17.25" customHeight="1">
      <c r="A10" s="1724" t="s">
        <v>6</v>
      </c>
      <c r="B10" s="1725"/>
      <c r="C10" s="912">
        <v>1</v>
      </c>
      <c r="D10" s="912">
        <v>2</v>
      </c>
      <c r="E10" s="912">
        <v>3</v>
      </c>
      <c r="F10" s="912">
        <v>4</v>
      </c>
      <c r="G10" s="912">
        <v>5</v>
      </c>
      <c r="H10" s="912">
        <v>6</v>
      </c>
      <c r="I10" s="912">
        <v>7</v>
      </c>
      <c r="J10" s="912">
        <v>8</v>
      </c>
      <c r="K10" s="912">
        <v>9</v>
      </c>
      <c r="L10" s="912" t="s">
        <v>100</v>
      </c>
      <c r="M10" s="912" t="s">
        <v>101</v>
      </c>
      <c r="N10" s="912" t="s">
        <v>102</v>
      </c>
      <c r="O10" s="912" t="s">
        <v>103</v>
      </c>
      <c r="P10" s="912" t="s">
        <v>104</v>
      </c>
      <c r="Q10" s="912" t="s">
        <v>355</v>
      </c>
      <c r="R10" s="912" t="s">
        <v>356</v>
      </c>
      <c r="S10" s="912" t="s">
        <v>357</v>
      </c>
      <c r="T10" s="913" t="s">
        <v>358</v>
      </c>
    </row>
    <row r="11" spans="1:20" ht="24" customHeight="1">
      <c r="A11" s="983"/>
      <c r="B11" s="1155" t="s">
        <v>225</v>
      </c>
      <c r="C11" s="1162">
        <f>D11+E11</f>
        <v>117372735</v>
      </c>
      <c r="D11" s="1172">
        <f>D12+D24+D33+D40+D48+D53+D58+D61</f>
        <v>95712620</v>
      </c>
      <c r="E11" s="1172">
        <f>E12+E24+E33+E40+E48+E53+E58+E61</f>
        <v>21660115</v>
      </c>
      <c r="F11" s="1172">
        <f>F12+F24+F33+F40+F48+F53+F58+F61</f>
        <v>7844406</v>
      </c>
      <c r="G11" s="1162">
        <f>G12+G24+G33+G40+G48+G53+G58+G61</f>
        <v>0</v>
      </c>
      <c r="H11" s="1162">
        <f>I11+R11</f>
        <v>109528329</v>
      </c>
      <c r="I11" s="1162">
        <f aca="true" t="shared" si="0" ref="I11:S11">I12+I24+I33+I40+I48+I53+I58+I61</f>
        <v>46472020</v>
      </c>
      <c r="J11" s="1172">
        <f t="shared" si="0"/>
        <v>9706060</v>
      </c>
      <c r="K11" s="1162">
        <f t="shared" si="0"/>
        <v>1847696</v>
      </c>
      <c r="L11" s="1162">
        <f t="shared" si="0"/>
        <v>149915</v>
      </c>
      <c r="M11" s="1162">
        <f t="shared" si="0"/>
        <v>18196939</v>
      </c>
      <c r="N11" s="1162">
        <f t="shared" si="0"/>
        <v>16252265</v>
      </c>
      <c r="O11" s="1162">
        <f t="shared" si="0"/>
        <v>0</v>
      </c>
      <c r="P11" s="1162">
        <f t="shared" si="0"/>
        <v>0</v>
      </c>
      <c r="Q11" s="1162">
        <f t="shared" si="0"/>
        <v>319145</v>
      </c>
      <c r="R11" s="1162">
        <f t="shared" si="0"/>
        <v>63056309</v>
      </c>
      <c r="S11" s="1162">
        <f t="shared" si="0"/>
        <v>97824658</v>
      </c>
      <c r="T11" s="1173">
        <f>(K11+J11+L11)/I11</f>
        <v>0.2518433887745788</v>
      </c>
    </row>
    <row r="12" spans="1:20" ht="26.25" customHeight="1">
      <c r="A12" s="914" t="s">
        <v>0</v>
      </c>
      <c r="B12" s="1156" t="s">
        <v>705</v>
      </c>
      <c r="C12" s="1162">
        <f>D12+E12</f>
        <v>14133012</v>
      </c>
      <c r="D12" s="1162">
        <f aca="true" t="shared" si="1" ref="D12:S12">SUM(D15:D22)</f>
        <v>12147874</v>
      </c>
      <c r="E12" s="1162">
        <f t="shared" si="1"/>
        <v>1985138</v>
      </c>
      <c r="F12" s="1162">
        <f t="shared" si="1"/>
        <v>13871</v>
      </c>
      <c r="G12" s="1162">
        <f t="shared" si="1"/>
        <v>0</v>
      </c>
      <c r="H12" s="1162">
        <f t="shared" si="1"/>
        <v>14119141</v>
      </c>
      <c r="I12" s="1162">
        <f t="shared" si="1"/>
        <v>1667701</v>
      </c>
      <c r="J12" s="1162">
        <f t="shared" si="1"/>
        <v>475166</v>
      </c>
      <c r="K12" s="1162">
        <f t="shared" si="1"/>
        <v>21983</v>
      </c>
      <c r="L12" s="1162">
        <f t="shared" si="1"/>
        <v>81876</v>
      </c>
      <c r="M12" s="1162">
        <f t="shared" si="1"/>
        <v>1088676</v>
      </c>
      <c r="N12" s="1162">
        <f t="shared" si="1"/>
        <v>0</v>
      </c>
      <c r="O12" s="1162">
        <f t="shared" si="1"/>
        <v>0</v>
      </c>
      <c r="P12" s="1162">
        <f t="shared" si="1"/>
        <v>0</v>
      </c>
      <c r="Q12" s="1162">
        <f t="shared" si="1"/>
        <v>0</v>
      </c>
      <c r="R12" s="1162">
        <f t="shared" si="1"/>
        <v>12451440</v>
      </c>
      <c r="S12" s="1162">
        <f t="shared" si="1"/>
        <v>13540116</v>
      </c>
      <c r="T12" s="1173">
        <f>(K12+J12+L12)/I12</f>
        <v>0.34719952797294</v>
      </c>
    </row>
    <row r="13" spans="1:20" ht="26.25" customHeight="1">
      <c r="A13" s="1212">
        <v>1</v>
      </c>
      <c r="B13" s="1213" t="s">
        <v>810</v>
      </c>
      <c r="C13" s="984">
        <f aca="true" t="shared" si="2" ref="C13:C22">D13+E13</f>
        <v>0</v>
      </c>
      <c r="D13" s="1214"/>
      <c r="E13" s="1214"/>
      <c r="F13" s="1214"/>
      <c r="G13" s="1214"/>
      <c r="H13" s="984">
        <f aca="true" t="shared" si="3" ref="H13:H32">I13+R13</f>
        <v>0</v>
      </c>
      <c r="I13" s="984">
        <f aca="true" t="shared" si="4" ref="I13:I21">J13+K13+L13+M13+N13+O13+P13+Q13</f>
        <v>0</v>
      </c>
      <c r="J13" s="1214"/>
      <c r="K13" s="1214"/>
      <c r="L13" s="1214"/>
      <c r="M13" s="1214"/>
      <c r="N13" s="1214"/>
      <c r="O13" s="1214"/>
      <c r="P13" s="1214"/>
      <c r="Q13" s="1214"/>
      <c r="R13" s="1214"/>
      <c r="S13" s="984">
        <f>C13-F13-J13-K13-L13</f>
        <v>0</v>
      </c>
      <c r="T13" s="1174" t="e">
        <f aca="true" t="shared" si="5" ref="T13:T63">(K13+J13+L13)/I13</f>
        <v>#DIV/0!</v>
      </c>
    </row>
    <row r="14" spans="1:20" ht="26.25" customHeight="1">
      <c r="A14" s="1212">
        <v>2</v>
      </c>
      <c r="B14" s="1213" t="s">
        <v>811</v>
      </c>
      <c r="C14" s="984">
        <f t="shared" si="2"/>
        <v>0</v>
      </c>
      <c r="D14" s="1214"/>
      <c r="E14" s="1214"/>
      <c r="F14" s="1214"/>
      <c r="G14" s="1214"/>
      <c r="H14" s="984">
        <f t="shared" si="3"/>
        <v>0</v>
      </c>
      <c r="I14" s="984">
        <f t="shared" si="4"/>
        <v>0</v>
      </c>
      <c r="J14" s="1214"/>
      <c r="K14" s="1214"/>
      <c r="L14" s="1214"/>
      <c r="M14" s="1214"/>
      <c r="N14" s="1214"/>
      <c r="O14" s="1214"/>
      <c r="P14" s="1214"/>
      <c r="Q14" s="1214"/>
      <c r="R14" s="1214"/>
      <c r="S14" s="984">
        <f>C14-F14-J14-K14-L14</f>
        <v>0</v>
      </c>
      <c r="T14" s="1174" t="e">
        <f t="shared" si="5"/>
        <v>#DIV/0!</v>
      </c>
    </row>
    <row r="15" spans="1:20" ht="26.25" customHeight="1">
      <c r="A15" s="915">
        <v>3</v>
      </c>
      <c r="B15" s="1157" t="s">
        <v>664</v>
      </c>
      <c r="C15" s="984">
        <f t="shared" si="2"/>
        <v>1496783</v>
      </c>
      <c r="D15" s="928">
        <v>684114</v>
      </c>
      <c r="E15" s="929">
        <v>812669</v>
      </c>
      <c r="F15" s="930">
        <v>13871</v>
      </c>
      <c r="G15" s="930"/>
      <c r="H15" s="984">
        <f t="shared" si="3"/>
        <v>1482912</v>
      </c>
      <c r="I15" s="984">
        <f t="shared" si="4"/>
        <v>220822</v>
      </c>
      <c r="J15" s="929">
        <v>204262</v>
      </c>
      <c r="K15" s="929">
        <v>14614</v>
      </c>
      <c r="L15" s="929">
        <v>1946</v>
      </c>
      <c r="M15" s="929">
        <v>0</v>
      </c>
      <c r="N15" s="930"/>
      <c r="O15" s="932">
        <v>0</v>
      </c>
      <c r="P15" s="932">
        <v>0</v>
      </c>
      <c r="Q15" s="932"/>
      <c r="R15" s="933">
        <v>1262090</v>
      </c>
      <c r="S15" s="984">
        <f>C15-F15-J15-K15-L15</f>
        <v>1262090</v>
      </c>
      <c r="T15" s="1174">
        <f t="shared" si="5"/>
        <v>1</v>
      </c>
    </row>
    <row r="16" spans="1:20" ht="26.25" customHeight="1">
      <c r="A16" s="1212">
        <v>4</v>
      </c>
      <c r="B16" s="1157" t="s">
        <v>665</v>
      </c>
      <c r="C16" s="984">
        <f t="shared" si="2"/>
        <v>6075395</v>
      </c>
      <c r="D16" s="928">
        <v>5415996</v>
      </c>
      <c r="E16" s="929">
        <v>659399</v>
      </c>
      <c r="F16" s="930">
        <v>0</v>
      </c>
      <c r="G16" s="930"/>
      <c r="H16" s="984">
        <f t="shared" si="3"/>
        <v>6075395</v>
      </c>
      <c r="I16" s="984">
        <f t="shared" si="4"/>
        <v>963996</v>
      </c>
      <c r="J16" s="929">
        <v>65343</v>
      </c>
      <c r="K16" s="929">
        <v>0</v>
      </c>
      <c r="L16" s="929">
        <v>29931</v>
      </c>
      <c r="M16" s="929">
        <v>868722</v>
      </c>
      <c r="N16" s="930"/>
      <c r="O16" s="932">
        <v>0</v>
      </c>
      <c r="P16" s="932">
        <v>0</v>
      </c>
      <c r="Q16" s="932"/>
      <c r="R16" s="933">
        <v>5111399</v>
      </c>
      <c r="S16" s="984">
        <f aca="true" t="shared" si="6" ref="S16:S22">C16-F16-J16-K16-L16</f>
        <v>5980121</v>
      </c>
      <c r="T16" s="1174">
        <f t="shared" si="5"/>
        <v>0.09883236030025021</v>
      </c>
    </row>
    <row r="17" spans="1:20" ht="26.25" customHeight="1">
      <c r="A17" s="1212">
        <v>5</v>
      </c>
      <c r="B17" s="1157" t="s">
        <v>666</v>
      </c>
      <c r="C17" s="984">
        <f t="shared" si="2"/>
        <v>4224478</v>
      </c>
      <c r="D17" s="1119">
        <v>4165587</v>
      </c>
      <c r="E17" s="1120">
        <v>58891</v>
      </c>
      <c r="F17" s="1121">
        <v>0</v>
      </c>
      <c r="G17" s="1159"/>
      <c r="H17" s="984">
        <f t="shared" si="3"/>
        <v>4224478</v>
      </c>
      <c r="I17" s="984">
        <f t="shared" si="4"/>
        <v>59741</v>
      </c>
      <c r="J17" s="1120">
        <v>59041</v>
      </c>
      <c r="K17" s="1120">
        <v>0</v>
      </c>
      <c r="L17" s="1120">
        <v>0</v>
      </c>
      <c r="M17" s="1120">
        <v>700</v>
      </c>
      <c r="N17" s="1121"/>
      <c r="O17" s="1122">
        <v>0</v>
      </c>
      <c r="P17" s="1122">
        <v>0</v>
      </c>
      <c r="Q17" s="1122"/>
      <c r="R17" s="1123">
        <v>4164737</v>
      </c>
      <c r="S17" s="984">
        <f t="shared" si="6"/>
        <v>4165437</v>
      </c>
      <c r="T17" s="1174">
        <f t="shared" si="5"/>
        <v>0.9882827538876149</v>
      </c>
    </row>
    <row r="18" spans="1:20" ht="24.75" customHeight="1">
      <c r="A18" s="915">
        <v>6</v>
      </c>
      <c r="B18" s="1157" t="s">
        <v>667</v>
      </c>
      <c r="C18" s="984">
        <f t="shared" si="2"/>
        <v>47735</v>
      </c>
      <c r="D18" s="931">
        <v>47735</v>
      </c>
      <c r="E18" s="929">
        <v>0</v>
      </c>
      <c r="F18" s="930">
        <v>0</v>
      </c>
      <c r="G18" s="930"/>
      <c r="H18" s="984">
        <f t="shared" si="3"/>
        <v>47735</v>
      </c>
      <c r="I18" s="984">
        <f t="shared" si="4"/>
        <v>0</v>
      </c>
      <c r="J18" s="929">
        <v>0</v>
      </c>
      <c r="K18" s="929"/>
      <c r="L18" s="929"/>
      <c r="M18" s="929">
        <v>0</v>
      </c>
      <c r="N18" s="930"/>
      <c r="O18" s="932">
        <v>0</v>
      </c>
      <c r="P18" s="932">
        <v>0</v>
      </c>
      <c r="Q18" s="932"/>
      <c r="R18" s="933">
        <v>47735</v>
      </c>
      <c r="S18" s="984">
        <f t="shared" si="6"/>
        <v>47735</v>
      </c>
      <c r="T18" s="1174" t="e">
        <f t="shared" si="5"/>
        <v>#DIV/0!</v>
      </c>
    </row>
    <row r="19" spans="1:20" ht="28.5" customHeight="1">
      <c r="A19" s="1212">
        <v>7</v>
      </c>
      <c r="B19" s="1157" t="s">
        <v>801</v>
      </c>
      <c r="C19" s="984">
        <f t="shared" si="2"/>
        <v>2028910</v>
      </c>
      <c r="D19" s="931">
        <v>1574731</v>
      </c>
      <c r="E19" s="929">
        <v>454179</v>
      </c>
      <c r="F19" s="930">
        <v>0</v>
      </c>
      <c r="G19" s="930"/>
      <c r="H19" s="984">
        <f t="shared" si="3"/>
        <v>2028910</v>
      </c>
      <c r="I19" s="984">
        <f t="shared" si="4"/>
        <v>391073</v>
      </c>
      <c r="J19" s="929">
        <v>124820</v>
      </c>
      <c r="K19" s="929"/>
      <c r="L19" s="929">
        <v>49999</v>
      </c>
      <c r="M19" s="929">
        <v>216254</v>
      </c>
      <c r="N19" s="930"/>
      <c r="O19" s="932">
        <v>0</v>
      </c>
      <c r="P19" s="932">
        <v>0</v>
      </c>
      <c r="Q19" s="932"/>
      <c r="R19" s="933">
        <v>1637837</v>
      </c>
      <c r="S19" s="984">
        <f t="shared" si="6"/>
        <v>1854091</v>
      </c>
      <c r="T19" s="1174">
        <f t="shared" si="5"/>
        <v>0.4470239571640077</v>
      </c>
    </row>
    <row r="20" spans="1:20" ht="28.5" customHeight="1">
      <c r="A20" s="1212">
        <v>8</v>
      </c>
      <c r="B20" s="1157" t="s">
        <v>728</v>
      </c>
      <c r="C20" s="984">
        <f t="shared" si="2"/>
        <v>188202</v>
      </c>
      <c r="D20" s="931">
        <v>188202</v>
      </c>
      <c r="E20" s="929">
        <v>0</v>
      </c>
      <c r="F20" s="930"/>
      <c r="G20" s="930"/>
      <c r="H20" s="984">
        <f t="shared" si="3"/>
        <v>188202</v>
      </c>
      <c r="I20" s="984">
        <f t="shared" si="4"/>
        <v>0</v>
      </c>
      <c r="J20" s="929">
        <v>0</v>
      </c>
      <c r="K20" s="929"/>
      <c r="L20" s="929"/>
      <c r="M20" s="929">
        <v>0</v>
      </c>
      <c r="N20" s="930"/>
      <c r="O20" s="932"/>
      <c r="P20" s="932"/>
      <c r="Q20" s="932"/>
      <c r="R20" s="933">
        <v>188202</v>
      </c>
      <c r="S20" s="984">
        <f t="shared" si="6"/>
        <v>188202</v>
      </c>
      <c r="T20" s="1174" t="e">
        <f t="shared" si="5"/>
        <v>#DIV/0!</v>
      </c>
    </row>
    <row r="21" spans="1:20" ht="24.75" customHeight="1">
      <c r="A21" s="915">
        <v>9</v>
      </c>
      <c r="B21" s="1157" t="s">
        <v>669</v>
      </c>
      <c r="C21" s="984">
        <f t="shared" si="2"/>
        <v>21629</v>
      </c>
      <c r="D21" s="931">
        <v>21629</v>
      </c>
      <c r="E21" s="929">
        <v>0</v>
      </c>
      <c r="F21" s="930">
        <v>0</v>
      </c>
      <c r="G21" s="930"/>
      <c r="H21" s="984">
        <f t="shared" si="3"/>
        <v>21629</v>
      </c>
      <c r="I21" s="984">
        <f t="shared" si="4"/>
        <v>12069</v>
      </c>
      <c r="J21" s="929">
        <v>1700</v>
      </c>
      <c r="K21" s="929">
        <v>7369</v>
      </c>
      <c r="L21" s="929"/>
      <c r="M21" s="929">
        <v>3000</v>
      </c>
      <c r="N21" s="930"/>
      <c r="O21" s="932">
        <v>0</v>
      </c>
      <c r="P21" s="932">
        <v>0</v>
      </c>
      <c r="Q21" s="932"/>
      <c r="R21" s="933">
        <v>9560</v>
      </c>
      <c r="S21" s="984">
        <f t="shared" si="6"/>
        <v>12560</v>
      </c>
      <c r="T21" s="1174">
        <f t="shared" si="5"/>
        <v>0.751429281630624</v>
      </c>
    </row>
    <row r="22" spans="1:20" ht="24.75" customHeight="1">
      <c r="A22" s="1212">
        <v>10</v>
      </c>
      <c r="B22" s="1160" t="s">
        <v>670</v>
      </c>
      <c r="C22" s="984">
        <f t="shared" si="2"/>
        <v>49880</v>
      </c>
      <c r="D22" s="931">
        <v>49880</v>
      </c>
      <c r="E22" s="929">
        <v>0</v>
      </c>
      <c r="F22" s="930">
        <v>0</v>
      </c>
      <c r="G22" s="930"/>
      <c r="H22" s="984">
        <f t="shared" si="3"/>
        <v>49880</v>
      </c>
      <c r="I22" s="984">
        <f>J22+K22+L22+M22+N22+O22+P22+Q22</f>
        <v>20000</v>
      </c>
      <c r="J22" s="929">
        <v>20000</v>
      </c>
      <c r="K22" s="929"/>
      <c r="L22" s="929"/>
      <c r="M22" s="929">
        <v>0</v>
      </c>
      <c r="N22" s="930"/>
      <c r="O22" s="932">
        <v>0</v>
      </c>
      <c r="P22" s="932">
        <v>0</v>
      </c>
      <c r="Q22" s="932"/>
      <c r="R22" s="933">
        <v>29880</v>
      </c>
      <c r="S22" s="984">
        <f t="shared" si="6"/>
        <v>29880</v>
      </c>
      <c r="T22" s="1174">
        <f t="shared" si="5"/>
        <v>1</v>
      </c>
    </row>
    <row r="23" spans="1:20" ht="24.75" customHeight="1">
      <c r="A23" s="963" t="s">
        <v>1</v>
      </c>
      <c r="B23" s="1719" t="s">
        <v>797</v>
      </c>
      <c r="C23" s="1720"/>
      <c r="D23" s="1720"/>
      <c r="E23" s="1720"/>
      <c r="F23" s="1720"/>
      <c r="G23" s="1720"/>
      <c r="H23" s="1720"/>
      <c r="I23" s="1720"/>
      <c r="J23" s="1720"/>
      <c r="K23" s="1720"/>
      <c r="L23" s="1720"/>
      <c r="M23" s="1720"/>
      <c r="N23" s="1720"/>
      <c r="O23" s="1720"/>
      <c r="P23" s="1720"/>
      <c r="Q23" s="1720"/>
      <c r="R23" s="1720"/>
      <c r="S23" s="1721"/>
      <c r="T23" s="1158"/>
    </row>
    <row r="24" spans="1:20" ht="24.75" customHeight="1">
      <c r="A24" s="924" t="s">
        <v>0</v>
      </c>
      <c r="B24" s="1156" t="s">
        <v>706</v>
      </c>
      <c r="C24" s="1215">
        <f>D24+E24</f>
        <v>51170098</v>
      </c>
      <c r="D24" s="1216">
        <f>SUM(D25:D32)</f>
        <v>41909503</v>
      </c>
      <c r="E24" s="1216">
        <f>SUM(E25:E32)</f>
        <v>9260595</v>
      </c>
      <c r="F24" s="1216">
        <f>SUM(F25:F32)</f>
        <v>194257</v>
      </c>
      <c r="G24" s="1216">
        <f>SUM(G25:G32)</f>
        <v>0</v>
      </c>
      <c r="H24" s="1215">
        <f>I24+R24</f>
        <v>50975841</v>
      </c>
      <c r="I24" s="1216">
        <f>SUM(J24:Q24)</f>
        <v>27333589</v>
      </c>
      <c r="J24" s="1216">
        <f aca="true" t="shared" si="7" ref="J24:S24">SUM(J25:J32)</f>
        <v>4555498</v>
      </c>
      <c r="K24" s="1216">
        <f t="shared" si="7"/>
        <v>1220009</v>
      </c>
      <c r="L24" s="1216">
        <f t="shared" si="7"/>
        <v>32404</v>
      </c>
      <c r="M24" s="1216">
        <f t="shared" si="7"/>
        <v>6714692</v>
      </c>
      <c r="N24" s="1216">
        <f t="shared" si="7"/>
        <v>14691333</v>
      </c>
      <c r="O24" s="1216">
        <f t="shared" si="7"/>
        <v>0</v>
      </c>
      <c r="P24" s="1216">
        <f t="shared" si="7"/>
        <v>0</v>
      </c>
      <c r="Q24" s="1216">
        <f t="shared" si="7"/>
        <v>119653</v>
      </c>
      <c r="R24" s="1216">
        <f t="shared" si="7"/>
        <v>23642252</v>
      </c>
      <c r="S24" s="1216">
        <f t="shared" si="7"/>
        <v>45167930</v>
      </c>
      <c r="T24" s="1217">
        <f>(K24+J24+L24)/I24</f>
        <v>0.2124825612911645</v>
      </c>
    </row>
    <row r="25" spans="1:20" ht="24.75" customHeight="1">
      <c r="A25" s="915" t="s">
        <v>51</v>
      </c>
      <c r="B25" s="938" t="s">
        <v>673</v>
      </c>
      <c r="C25" s="984">
        <f>D25+E25</f>
        <v>1950</v>
      </c>
      <c r="D25" s="1161">
        <v>0</v>
      </c>
      <c r="E25" s="1161">
        <v>1950</v>
      </c>
      <c r="F25" s="1161">
        <v>0</v>
      </c>
      <c r="G25" s="984">
        <v>0</v>
      </c>
      <c r="H25" s="984">
        <f t="shared" si="3"/>
        <v>1950</v>
      </c>
      <c r="I25" s="984">
        <f aca="true" t="shared" si="8" ref="I25:I32">SUM(J25:Q25)</f>
        <v>1950</v>
      </c>
      <c r="J25" s="1161">
        <v>1950</v>
      </c>
      <c r="K25" s="1161">
        <v>0</v>
      </c>
      <c r="L25" s="1161">
        <v>0</v>
      </c>
      <c r="M25" s="1161">
        <v>0</v>
      </c>
      <c r="N25" s="1161">
        <v>0</v>
      </c>
      <c r="O25" s="1161"/>
      <c r="P25" s="1161"/>
      <c r="Q25" s="1161"/>
      <c r="R25" s="1161">
        <v>0</v>
      </c>
      <c r="S25" s="984">
        <f>C25-F25-G25-J25-K25-L25</f>
        <v>0</v>
      </c>
      <c r="T25" s="1174">
        <f t="shared" si="5"/>
        <v>1</v>
      </c>
    </row>
    <row r="26" spans="1:20" ht="24.75" customHeight="1">
      <c r="A26" s="915" t="s">
        <v>52</v>
      </c>
      <c r="B26" s="937" t="s">
        <v>674</v>
      </c>
      <c r="C26" s="984">
        <f aca="true" t="shared" si="9" ref="C26:C32">D26+E26</f>
        <v>4134232</v>
      </c>
      <c r="D26" s="1161">
        <v>3942047</v>
      </c>
      <c r="E26" s="1161">
        <v>192185</v>
      </c>
      <c r="F26" s="1161">
        <v>21000</v>
      </c>
      <c r="G26" s="984">
        <v>0</v>
      </c>
      <c r="H26" s="984">
        <f t="shared" si="3"/>
        <v>4113232</v>
      </c>
      <c r="I26" s="984">
        <f t="shared" si="8"/>
        <v>557999</v>
      </c>
      <c r="J26" s="1161">
        <v>98332</v>
      </c>
      <c r="K26" s="1161">
        <v>25476</v>
      </c>
      <c r="L26" s="1161">
        <v>0</v>
      </c>
      <c r="M26" s="1161">
        <v>223040</v>
      </c>
      <c r="N26" s="1161">
        <v>211151</v>
      </c>
      <c r="O26" s="1161">
        <v>0</v>
      </c>
      <c r="P26" s="1161"/>
      <c r="Q26" s="1161">
        <v>0</v>
      </c>
      <c r="R26" s="1161">
        <v>3555233</v>
      </c>
      <c r="S26" s="984">
        <f aca="true" t="shared" si="10" ref="S26:S32">C26-F26-G26-J26-K26-L26</f>
        <v>3989424</v>
      </c>
      <c r="T26" s="1174">
        <f t="shared" si="5"/>
        <v>0.22187853383249792</v>
      </c>
    </row>
    <row r="27" spans="1:20" ht="24.75" customHeight="1">
      <c r="A27" s="915" t="s">
        <v>57</v>
      </c>
      <c r="B27" s="938" t="s">
        <v>675</v>
      </c>
      <c r="C27" s="984">
        <f t="shared" si="9"/>
        <v>9271037</v>
      </c>
      <c r="D27" s="1161">
        <v>4960551</v>
      </c>
      <c r="E27" s="1161">
        <v>4310486</v>
      </c>
      <c r="F27" s="1161">
        <v>0</v>
      </c>
      <c r="G27" s="984">
        <v>0</v>
      </c>
      <c r="H27" s="984">
        <f t="shared" si="3"/>
        <v>9271037</v>
      </c>
      <c r="I27" s="984">
        <f t="shared" si="8"/>
        <v>5060020</v>
      </c>
      <c r="J27" s="1161">
        <v>2927973</v>
      </c>
      <c r="K27" s="1161">
        <v>580944</v>
      </c>
      <c r="L27" s="1161">
        <v>0</v>
      </c>
      <c r="M27" s="1161">
        <v>1551103</v>
      </c>
      <c r="N27" s="1161">
        <v>0</v>
      </c>
      <c r="O27" s="1161"/>
      <c r="P27" s="1161"/>
      <c r="Q27" s="1161">
        <v>0</v>
      </c>
      <c r="R27" s="1161">
        <v>4211017</v>
      </c>
      <c r="S27" s="984">
        <f t="shared" si="10"/>
        <v>5762120</v>
      </c>
      <c r="T27" s="1174">
        <f t="shared" si="5"/>
        <v>0.6934591167623844</v>
      </c>
    </row>
    <row r="28" spans="1:20" ht="24.75" customHeight="1">
      <c r="A28" s="915" t="s">
        <v>72</v>
      </c>
      <c r="B28" s="937" t="s">
        <v>792</v>
      </c>
      <c r="C28" s="984">
        <f t="shared" si="9"/>
        <v>12336246</v>
      </c>
      <c r="D28" s="1161">
        <v>11628191</v>
      </c>
      <c r="E28" s="1161">
        <v>708055</v>
      </c>
      <c r="F28" s="1161">
        <v>101082</v>
      </c>
      <c r="G28" s="984">
        <v>0</v>
      </c>
      <c r="H28" s="984">
        <f t="shared" si="3"/>
        <v>12235164</v>
      </c>
      <c r="I28" s="984">
        <f t="shared" si="8"/>
        <v>3375226</v>
      </c>
      <c r="J28" s="1161">
        <v>186537</v>
      </c>
      <c r="K28" s="1161">
        <v>12</v>
      </c>
      <c r="L28" s="1161">
        <v>23453</v>
      </c>
      <c r="M28" s="1161">
        <v>1484214</v>
      </c>
      <c r="N28" s="1161">
        <v>1561357</v>
      </c>
      <c r="O28" s="1161"/>
      <c r="P28" s="1161"/>
      <c r="Q28" s="1161">
        <v>119653</v>
      </c>
      <c r="R28" s="1161">
        <v>8859938</v>
      </c>
      <c r="S28" s="984">
        <f t="shared" si="10"/>
        <v>12025162</v>
      </c>
      <c r="T28" s="1174">
        <f t="shared" si="5"/>
        <v>0.06221864846976173</v>
      </c>
    </row>
    <row r="29" spans="1:20" ht="24.75" customHeight="1">
      <c r="A29" s="915" t="s">
        <v>73</v>
      </c>
      <c r="B29" s="937" t="s">
        <v>793</v>
      </c>
      <c r="C29" s="984">
        <f t="shared" si="9"/>
        <v>16485980</v>
      </c>
      <c r="D29" s="1161">
        <v>15803389</v>
      </c>
      <c r="E29" s="1161">
        <v>682591</v>
      </c>
      <c r="F29" s="1161">
        <v>975</v>
      </c>
      <c r="G29" s="984">
        <v>0</v>
      </c>
      <c r="H29" s="984">
        <f t="shared" si="3"/>
        <v>16485005</v>
      </c>
      <c r="I29" s="984">
        <f t="shared" si="8"/>
        <v>14722411</v>
      </c>
      <c r="J29" s="1161">
        <v>345688</v>
      </c>
      <c r="K29" s="1161">
        <v>0</v>
      </c>
      <c r="L29" s="1161">
        <v>0</v>
      </c>
      <c r="M29" s="1161">
        <v>1644898</v>
      </c>
      <c r="N29" s="1161">
        <v>12731825</v>
      </c>
      <c r="O29" s="1161"/>
      <c r="P29" s="1161"/>
      <c r="Q29" s="1161">
        <v>0</v>
      </c>
      <c r="R29" s="1161">
        <v>1762594</v>
      </c>
      <c r="S29" s="984">
        <f t="shared" si="10"/>
        <v>16139317</v>
      </c>
      <c r="T29" s="1174">
        <f t="shared" si="5"/>
        <v>0.023480393258957382</v>
      </c>
    </row>
    <row r="30" spans="1:20" ht="24.75" customHeight="1">
      <c r="A30" s="915">
        <v>6</v>
      </c>
      <c r="B30" s="938" t="s">
        <v>803</v>
      </c>
      <c r="C30" s="984">
        <f t="shared" si="9"/>
        <v>3189160</v>
      </c>
      <c r="D30" s="1161">
        <v>1696588</v>
      </c>
      <c r="E30" s="1161">
        <v>1492572</v>
      </c>
      <c r="F30" s="1161">
        <v>71000</v>
      </c>
      <c r="G30" s="984"/>
      <c r="H30" s="984">
        <f t="shared" si="3"/>
        <v>3118160</v>
      </c>
      <c r="I30" s="984">
        <f t="shared" si="8"/>
        <v>1765491</v>
      </c>
      <c r="J30" s="1161">
        <v>645633</v>
      </c>
      <c r="K30" s="1161">
        <v>610679</v>
      </c>
      <c r="L30" s="1161">
        <v>4137</v>
      </c>
      <c r="M30" s="1161">
        <v>405042</v>
      </c>
      <c r="N30" s="1161">
        <v>100000</v>
      </c>
      <c r="O30" s="1161">
        <v>0</v>
      </c>
      <c r="P30" s="1161"/>
      <c r="Q30" s="1161"/>
      <c r="R30" s="1161">
        <v>1352669</v>
      </c>
      <c r="S30" s="984">
        <f t="shared" si="10"/>
        <v>1857711</v>
      </c>
      <c r="T30" s="1174">
        <f t="shared" si="5"/>
        <v>0.7139368028497455</v>
      </c>
    </row>
    <row r="31" spans="1:20" ht="24.75" customHeight="1">
      <c r="A31" s="915">
        <v>7</v>
      </c>
      <c r="B31" s="938" t="s">
        <v>678</v>
      </c>
      <c r="C31" s="984">
        <f t="shared" si="9"/>
        <v>5142307</v>
      </c>
      <c r="D31" s="1161">
        <v>3588036</v>
      </c>
      <c r="E31" s="1161">
        <v>1554271</v>
      </c>
      <c r="F31" s="1161">
        <v>200</v>
      </c>
      <c r="G31" s="984">
        <v>0</v>
      </c>
      <c r="H31" s="984">
        <f t="shared" si="3"/>
        <v>5142107</v>
      </c>
      <c r="I31" s="984">
        <f t="shared" si="8"/>
        <v>1537007</v>
      </c>
      <c r="J31" s="1161">
        <v>324964</v>
      </c>
      <c r="K31" s="1161">
        <v>2898</v>
      </c>
      <c r="L31" s="1161">
        <v>4814</v>
      </c>
      <c r="M31" s="1175">
        <v>1204331</v>
      </c>
      <c r="N31" s="1161"/>
      <c r="O31" s="1161">
        <v>0</v>
      </c>
      <c r="P31" s="1161"/>
      <c r="Q31" s="1161"/>
      <c r="R31" s="1161">
        <v>3605100</v>
      </c>
      <c r="S31" s="984">
        <f t="shared" si="10"/>
        <v>4809431</v>
      </c>
      <c r="T31" s="1174">
        <f t="shared" si="5"/>
        <v>0.21644403701479564</v>
      </c>
    </row>
    <row r="32" spans="1:20" ht="24.75" customHeight="1">
      <c r="A32" s="915">
        <v>8</v>
      </c>
      <c r="B32" s="938" t="s">
        <v>802</v>
      </c>
      <c r="C32" s="984">
        <f t="shared" si="9"/>
        <v>609186</v>
      </c>
      <c r="D32" s="1161">
        <v>290701</v>
      </c>
      <c r="E32" s="1161">
        <v>318485</v>
      </c>
      <c r="F32" s="1161">
        <v>0</v>
      </c>
      <c r="G32" s="984">
        <v>0</v>
      </c>
      <c r="H32" s="984">
        <f t="shared" si="3"/>
        <v>609186</v>
      </c>
      <c r="I32" s="984">
        <f t="shared" si="8"/>
        <v>313485</v>
      </c>
      <c r="J32" s="1161">
        <v>24421</v>
      </c>
      <c r="K32" s="1161">
        <v>0</v>
      </c>
      <c r="L32" s="1161">
        <v>0</v>
      </c>
      <c r="M32" s="1175">
        <v>202064</v>
      </c>
      <c r="N32" s="1161">
        <v>87000</v>
      </c>
      <c r="O32" s="1161">
        <v>0</v>
      </c>
      <c r="P32" s="1161"/>
      <c r="Q32" s="1161"/>
      <c r="R32" s="1161">
        <v>295701</v>
      </c>
      <c r="S32" s="984">
        <f t="shared" si="10"/>
        <v>584765</v>
      </c>
      <c r="T32" s="1174">
        <f t="shared" si="5"/>
        <v>0.07790165398663412</v>
      </c>
    </row>
    <row r="33" spans="1:20" s="1219" customFormat="1" ht="24.75" customHeight="1">
      <c r="A33" s="924">
        <v>2</v>
      </c>
      <c r="B33" s="1218" t="s">
        <v>679</v>
      </c>
      <c r="C33" s="1216">
        <f>D33+E33</f>
        <v>7108208</v>
      </c>
      <c r="D33" s="1216">
        <f>SUM(D34:D39)</f>
        <v>5038231</v>
      </c>
      <c r="E33" s="1216">
        <f>SUM(E34:E39)</f>
        <v>2069977</v>
      </c>
      <c r="F33" s="1216">
        <f>SUM(F34:F39)</f>
        <v>145790</v>
      </c>
      <c r="G33" s="1216">
        <f>SUM(G34:G39)</f>
        <v>0</v>
      </c>
      <c r="H33" s="1216">
        <f>I33+R33</f>
        <v>6962418</v>
      </c>
      <c r="I33" s="1216">
        <f>SUM(J33:Q33)</f>
        <v>4296859</v>
      </c>
      <c r="J33" s="1216">
        <f aca="true" t="shared" si="11" ref="J33:S33">SUM(J34:J39)</f>
        <v>999293</v>
      </c>
      <c r="K33" s="1216">
        <f t="shared" si="11"/>
        <v>40776</v>
      </c>
      <c r="L33" s="1216">
        <f t="shared" si="11"/>
        <v>26409</v>
      </c>
      <c r="M33" s="1216">
        <f t="shared" si="11"/>
        <v>3098181</v>
      </c>
      <c r="N33" s="1216">
        <f t="shared" si="11"/>
        <v>0</v>
      </c>
      <c r="O33" s="1216">
        <f t="shared" si="11"/>
        <v>0</v>
      </c>
      <c r="P33" s="1216">
        <f t="shared" si="11"/>
        <v>0</v>
      </c>
      <c r="Q33" s="1216">
        <f t="shared" si="11"/>
        <v>132200</v>
      </c>
      <c r="R33" s="1216">
        <f t="shared" si="11"/>
        <v>2665559</v>
      </c>
      <c r="S33" s="1216">
        <f t="shared" si="11"/>
        <v>5895940</v>
      </c>
      <c r="T33" s="1217">
        <f t="shared" si="5"/>
        <v>0.2481994405680987</v>
      </c>
    </row>
    <row r="34" spans="1:20" ht="24.75" customHeight="1">
      <c r="A34" s="915" t="s">
        <v>51</v>
      </c>
      <c r="B34" s="937" t="s">
        <v>680</v>
      </c>
      <c r="C34" s="984">
        <f aca="true" t="shared" si="12" ref="C34:C39">D34+E34</f>
        <v>244379</v>
      </c>
      <c r="D34" s="930">
        <v>166230</v>
      </c>
      <c r="E34" s="930">
        <v>78149</v>
      </c>
      <c r="F34" s="930">
        <v>400</v>
      </c>
      <c r="G34" s="984">
        <v>0</v>
      </c>
      <c r="H34" s="1185">
        <f aca="true" t="shared" si="13" ref="H34:H39">I34+R34</f>
        <v>243979</v>
      </c>
      <c r="I34" s="1185">
        <f aca="true" t="shared" si="14" ref="I34:I39">SUM(J34:Q34)</f>
        <v>155018</v>
      </c>
      <c r="J34" s="1121">
        <v>73574</v>
      </c>
      <c r="K34" s="930">
        <v>0</v>
      </c>
      <c r="L34" s="930">
        <v>8644</v>
      </c>
      <c r="M34" s="930">
        <v>71800</v>
      </c>
      <c r="N34" s="930">
        <v>0</v>
      </c>
      <c r="O34" s="930">
        <v>0</v>
      </c>
      <c r="P34" s="930">
        <v>0</v>
      </c>
      <c r="Q34" s="930">
        <v>1000</v>
      </c>
      <c r="R34" s="930">
        <v>88961</v>
      </c>
      <c r="S34" s="1186">
        <f aca="true" t="shared" si="15" ref="S34:S39">C34-F34-G34-J34-K34-L34</f>
        <v>161761</v>
      </c>
      <c r="T34" s="1174">
        <f t="shared" si="5"/>
        <v>0.5303771174960327</v>
      </c>
    </row>
    <row r="35" spans="1:20" ht="24.75" customHeight="1">
      <c r="A35" s="915" t="s">
        <v>52</v>
      </c>
      <c r="B35" s="937" t="s">
        <v>681</v>
      </c>
      <c r="C35" s="984">
        <f t="shared" si="12"/>
        <v>2801567</v>
      </c>
      <c r="D35" s="930">
        <v>1796477</v>
      </c>
      <c r="E35" s="1121">
        <v>1005090</v>
      </c>
      <c r="F35" s="1121">
        <v>22840</v>
      </c>
      <c r="G35" s="984">
        <v>0</v>
      </c>
      <c r="H35" s="1185">
        <f t="shared" si="13"/>
        <v>2778727</v>
      </c>
      <c r="I35" s="1185">
        <f t="shared" si="14"/>
        <v>1728378</v>
      </c>
      <c r="J35" s="1121">
        <v>163515</v>
      </c>
      <c r="K35" s="1121">
        <v>301</v>
      </c>
      <c r="L35" s="930">
        <v>0</v>
      </c>
      <c r="M35" s="930">
        <v>1564562</v>
      </c>
      <c r="N35" s="930">
        <v>0</v>
      </c>
      <c r="O35" s="930">
        <v>0</v>
      </c>
      <c r="P35" s="930">
        <v>0</v>
      </c>
      <c r="Q35" s="930">
        <v>0</v>
      </c>
      <c r="R35" s="930">
        <v>1050349</v>
      </c>
      <c r="S35" s="1186">
        <f t="shared" si="15"/>
        <v>2614911</v>
      </c>
      <c r="T35" s="1174">
        <f t="shared" si="5"/>
        <v>0.09478019275875994</v>
      </c>
    </row>
    <row r="36" spans="1:20" ht="24.75" customHeight="1">
      <c r="A36" s="915" t="s">
        <v>57</v>
      </c>
      <c r="B36" s="937" t="s">
        <v>677</v>
      </c>
      <c r="C36" s="984">
        <f t="shared" si="12"/>
        <v>914633</v>
      </c>
      <c r="D36" s="930">
        <v>584622</v>
      </c>
      <c r="E36" s="1121">
        <v>330011</v>
      </c>
      <c r="F36" s="1121">
        <v>51000</v>
      </c>
      <c r="G36" s="984">
        <v>0</v>
      </c>
      <c r="H36" s="1185">
        <f t="shared" si="13"/>
        <v>863633</v>
      </c>
      <c r="I36" s="1185">
        <f t="shared" si="14"/>
        <v>248133</v>
      </c>
      <c r="J36" s="1121">
        <v>78175</v>
      </c>
      <c r="K36" s="930">
        <v>2275</v>
      </c>
      <c r="L36" s="930">
        <v>6008</v>
      </c>
      <c r="M36" s="930">
        <v>161675</v>
      </c>
      <c r="N36" s="930">
        <v>0</v>
      </c>
      <c r="O36" s="930">
        <v>0</v>
      </c>
      <c r="P36" s="930">
        <v>0</v>
      </c>
      <c r="Q36" s="930">
        <v>0</v>
      </c>
      <c r="R36" s="930">
        <v>615500</v>
      </c>
      <c r="S36" s="1186">
        <f t="shared" si="15"/>
        <v>777175</v>
      </c>
      <c r="T36" s="1174">
        <f t="shared" si="5"/>
        <v>0.3484341059028827</v>
      </c>
    </row>
    <row r="37" spans="1:20" ht="24.75" customHeight="1">
      <c r="A37" s="915" t="s">
        <v>72</v>
      </c>
      <c r="B37" s="937" t="s">
        <v>682</v>
      </c>
      <c r="C37" s="984">
        <f t="shared" si="12"/>
        <v>1152687</v>
      </c>
      <c r="D37" s="930">
        <v>899638</v>
      </c>
      <c r="E37" s="1121">
        <v>253049</v>
      </c>
      <c r="F37" s="1121">
        <v>0</v>
      </c>
      <c r="G37" s="984">
        <v>0</v>
      </c>
      <c r="H37" s="1185">
        <f t="shared" si="13"/>
        <v>1152687</v>
      </c>
      <c r="I37" s="1185">
        <f t="shared" si="14"/>
        <v>1032760</v>
      </c>
      <c r="J37" s="1121">
        <v>494912</v>
      </c>
      <c r="K37" s="930">
        <v>12571</v>
      </c>
      <c r="L37" s="930">
        <v>9046</v>
      </c>
      <c r="M37" s="930">
        <v>505031</v>
      </c>
      <c r="N37" s="930">
        <v>0</v>
      </c>
      <c r="O37" s="930">
        <v>0</v>
      </c>
      <c r="P37" s="930">
        <v>0</v>
      </c>
      <c r="Q37" s="930">
        <v>11200</v>
      </c>
      <c r="R37" s="930">
        <v>119927</v>
      </c>
      <c r="S37" s="1186">
        <f t="shared" si="15"/>
        <v>636158</v>
      </c>
      <c r="T37" s="1174">
        <f t="shared" si="5"/>
        <v>0.5001442735969635</v>
      </c>
    </row>
    <row r="38" spans="1:20" ht="24.75" customHeight="1">
      <c r="A38" s="915" t="s">
        <v>73</v>
      </c>
      <c r="B38" s="937" t="s">
        <v>707</v>
      </c>
      <c r="C38" s="984">
        <f t="shared" si="12"/>
        <v>785671</v>
      </c>
      <c r="D38" s="930">
        <v>625502</v>
      </c>
      <c r="E38" s="930">
        <v>160169</v>
      </c>
      <c r="F38" s="930">
        <v>71350</v>
      </c>
      <c r="G38" s="984">
        <v>0</v>
      </c>
      <c r="H38" s="1185">
        <f t="shared" si="13"/>
        <v>714321</v>
      </c>
      <c r="I38" s="1185">
        <f t="shared" si="14"/>
        <v>172243</v>
      </c>
      <c r="J38" s="1121">
        <v>75927</v>
      </c>
      <c r="K38" s="930">
        <v>7826</v>
      </c>
      <c r="L38" s="930">
        <v>2711</v>
      </c>
      <c r="M38" s="930">
        <v>85779</v>
      </c>
      <c r="N38" s="930">
        <v>0</v>
      </c>
      <c r="O38" s="930">
        <v>0</v>
      </c>
      <c r="P38" s="930">
        <v>0</v>
      </c>
      <c r="Q38" s="930">
        <v>0</v>
      </c>
      <c r="R38" s="930">
        <v>542078</v>
      </c>
      <c r="S38" s="1186">
        <f t="shared" si="15"/>
        <v>627857</v>
      </c>
      <c r="T38" s="1174">
        <f t="shared" si="5"/>
        <v>0.5019884697781622</v>
      </c>
    </row>
    <row r="39" spans="1:20" ht="24.75" customHeight="1">
      <c r="A39" s="915" t="s">
        <v>74</v>
      </c>
      <c r="B39" s="938" t="s">
        <v>683</v>
      </c>
      <c r="C39" s="984">
        <f t="shared" si="12"/>
        <v>1209271</v>
      </c>
      <c r="D39" s="930">
        <v>965762</v>
      </c>
      <c r="E39" s="930">
        <v>243509</v>
      </c>
      <c r="F39" s="930">
        <v>200</v>
      </c>
      <c r="G39" s="984">
        <v>0</v>
      </c>
      <c r="H39" s="1185">
        <f t="shared" si="13"/>
        <v>1209071</v>
      </c>
      <c r="I39" s="1185">
        <f t="shared" si="14"/>
        <v>960327</v>
      </c>
      <c r="J39" s="930">
        <v>113190</v>
      </c>
      <c r="K39" s="930">
        <v>17803</v>
      </c>
      <c r="L39" s="930">
        <v>0</v>
      </c>
      <c r="M39" s="930">
        <v>709334</v>
      </c>
      <c r="N39" s="930">
        <v>0</v>
      </c>
      <c r="O39" s="930">
        <v>0</v>
      </c>
      <c r="P39" s="930">
        <v>0</v>
      </c>
      <c r="Q39" s="930">
        <v>120000</v>
      </c>
      <c r="R39" s="930">
        <v>248744</v>
      </c>
      <c r="S39" s="1186">
        <f t="shared" si="15"/>
        <v>1078078</v>
      </c>
      <c r="T39" s="1174">
        <f t="shared" si="5"/>
        <v>0.1364045788569935</v>
      </c>
    </row>
    <row r="40" spans="1:20" s="1219" customFormat="1" ht="24.75" customHeight="1">
      <c r="A40" s="924">
        <v>3</v>
      </c>
      <c r="B40" s="1218" t="s">
        <v>704</v>
      </c>
      <c r="C40" s="1216">
        <f>D40+E40</f>
        <v>20956599</v>
      </c>
      <c r="D40" s="1216">
        <f>SUM(D41:D47)</f>
        <v>18672023</v>
      </c>
      <c r="E40" s="1216">
        <f>SUM(E41:E47)</f>
        <v>2284576</v>
      </c>
      <c r="F40" s="1216">
        <f>SUM(F41:F47)</f>
        <v>3200</v>
      </c>
      <c r="G40" s="1216">
        <f>SUM(G41:G47)</f>
        <v>0</v>
      </c>
      <c r="H40" s="1216">
        <f>I40+R40</f>
        <v>20953399</v>
      </c>
      <c r="I40" s="1216">
        <f>SUM(J40:Q40)</f>
        <v>6001385</v>
      </c>
      <c r="J40" s="1216">
        <f aca="true" t="shared" si="16" ref="J40:R40">SUM(J41:J47)</f>
        <v>849647</v>
      </c>
      <c r="K40" s="1216">
        <f t="shared" si="16"/>
        <v>333333</v>
      </c>
      <c r="L40" s="1216">
        <f t="shared" si="16"/>
        <v>0</v>
      </c>
      <c r="M40" s="1216">
        <f t="shared" si="16"/>
        <v>3340181</v>
      </c>
      <c r="N40" s="1216">
        <f t="shared" si="16"/>
        <v>1410932</v>
      </c>
      <c r="O40" s="1216">
        <f t="shared" si="16"/>
        <v>0</v>
      </c>
      <c r="P40" s="1216">
        <f t="shared" si="16"/>
        <v>0</v>
      </c>
      <c r="Q40" s="1216">
        <f t="shared" si="16"/>
        <v>67292</v>
      </c>
      <c r="R40" s="1216">
        <f t="shared" si="16"/>
        <v>14952014</v>
      </c>
      <c r="S40" s="1216">
        <f>SUM(S41:S47)</f>
        <v>19770419</v>
      </c>
      <c r="T40" s="1217">
        <f t="shared" si="5"/>
        <v>0.19711783196712093</v>
      </c>
    </row>
    <row r="41" spans="1:20" ht="24.75" customHeight="1">
      <c r="A41" s="1115" t="s">
        <v>51</v>
      </c>
      <c r="B41" s="939" t="s">
        <v>708</v>
      </c>
      <c r="C41" s="984">
        <f aca="true" t="shared" si="17" ref="C41:C63">D41+E41</f>
        <v>296106</v>
      </c>
      <c r="D41" s="1161">
        <v>255149</v>
      </c>
      <c r="E41" s="1161">
        <v>40957</v>
      </c>
      <c r="F41" s="1161">
        <v>0</v>
      </c>
      <c r="G41" s="1161">
        <v>0</v>
      </c>
      <c r="H41" s="984">
        <f aca="true" t="shared" si="18" ref="H41:H63">I41+R41</f>
        <v>296106</v>
      </c>
      <c r="I41" s="984">
        <f aca="true" t="shared" si="19" ref="I41:I63">SUM(J41:Q41)</f>
        <v>44624</v>
      </c>
      <c r="J41" s="1161">
        <v>16624</v>
      </c>
      <c r="K41" s="1161">
        <v>0</v>
      </c>
      <c r="L41" s="1161">
        <v>0</v>
      </c>
      <c r="M41" s="1161">
        <v>0</v>
      </c>
      <c r="N41" s="1161">
        <v>0</v>
      </c>
      <c r="O41" s="1161">
        <v>0</v>
      </c>
      <c r="P41" s="1161">
        <v>0</v>
      </c>
      <c r="Q41" s="1161">
        <v>28000</v>
      </c>
      <c r="R41" s="1161">
        <v>251482</v>
      </c>
      <c r="S41" s="984">
        <f aca="true" t="shared" si="20" ref="S41:S47">C41-F41-G41-J41-K41-L41</f>
        <v>279482</v>
      </c>
      <c r="T41" s="1174">
        <f t="shared" si="5"/>
        <v>0.372534958766583</v>
      </c>
    </row>
    <row r="42" spans="1:20" ht="24.75" customHeight="1">
      <c r="A42" s="1115" t="s">
        <v>52</v>
      </c>
      <c r="B42" s="939" t="s">
        <v>685</v>
      </c>
      <c r="C42" s="984">
        <f t="shared" si="17"/>
        <v>1423664</v>
      </c>
      <c r="D42" s="1161">
        <v>1291730</v>
      </c>
      <c r="E42" s="1161">
        <v>131934</v>
      </c>
      <c r="F42" s="1161">
        <v>0</v>
      </c>
      <c r="G42" s="1161">
        <v>0</v>
      </c>
      <c r="H42" s="984">
        <f t="shared" si="18"/>
        <v>1423664</v>
      </c>
      <c r="I42" s="984">
        <f t="shared" si="19"/>
        <v>489683</v>
      </c>
      <c r="J42" s="1161">
        <v>234767</v>
      </c>
      <c r="K42" s="1161">
        <v>9000</v>
      </c>
      <c r="L42" s="1161">
        <v>0</v>
      </c>
      <c r="M42" s="1161">
        <v>245176</v>
      </c>
      <c r="N42" s="1161">
        <v>0</v>
      </c>
      <c r="O42" s="1161">
        <v>0</v>
      </c>
      <c r="P42" s="1161">
        <v>0</v>
      </c>
      <c r="Q42" s="1161">
        <v>740</v>
      </c>
      <c r="R42" s="1161">
        <v>933981</v>
      </c>
      <c r="S42" s="984">
        <f t="shared" si="20"/>
        <v>1179897</v>
      </c>
      <c r="T42" s="1174">
        <f t="shared" si="5"/>
        <v>0.4978057232944578</v>
      </c>
    </row>
    <row r="43" spans="1:20" ht="24.75" customHeight="1">
      <c r="A43" s="1115" t="s">
        <v>57</v>
      </c>
      <c r="B43" s="939" t="s">
        <v>686</v>
      </c>
      <c r="C43" s="984">
        <f t="shared" si="17"/>
        <v>7550723</v>
      </c>
      <c r="D43" s="1161">
        <v>7407302</v>
      </c>
      <c r="E43" s="1161">
        <v>143421</v>
      </c>
      <c r="F43" s="1161">
        <v>200</v>
      </c>
      <c r="G43" s="1161">
        <v>0</v>
      </c>
      <c r="H43" s="984">
        <f t="shared" si="18"/>
        <v>7550523</v>
      </c>
      <c r="I43" s="984">
        <f t="shared" si="19"/>
        <v>339641</v>
      </c>
      <c r="J43" s="1161">
        <v>129663</v>
      </c>
      <c r="K43" s="1161">
        <v>15900</v>
      </c>
      <c r="L43" s="1161">
        <v>0</v>
      </c>
      <c r="M43" s="1161">
        <v>194078</v>
      </c>
      <c r="N43" s="1161">
        <v>0</v>
      </c>
      <c r="O43" s="1161">
        <v>0</v>
      </c>
      <c r="P43" s="1161">
        <v>0</v>
      </c>
      <c r="Q43" s="1161">
        <v>0</v>
      </c>
      <c r="R43" s="1161">
        <v>7210882</v>
      </c>
      <c r="S43" s="984">
        <f t="shared" si="20"/>
        <v>7404960</v>
      </c>
      <c r="T43" s="1174">
        <f t="shared" si="5"/>
        <v>0.42857899959074436</v>
      </c>
    </row>
    <row r="44" spans="1:20" ht="24.75" customHeight="1">
      <c r="A44" s="1115" t="s">
        <v>72</v>
      </c>
      <c r="B44" s="939" t="s">
        <v>687</v>
      </c>
      <c r="C44" s="984">
        <f t="shared" si="17"/>
        <v>3397769</v>
      </c>
      <c r="D44" s="1161">
        <v>2815711</v>
      </c>
      <c r="E44" s="1161">
        <v>582058</v>
      </c>
      <c r="F44" s="1161">
        <v>0</v>
      </c>
      <c r="G44" s="1161">
        <v>0</v>
      </c>
      <c r="H44" s="984">
        <f t="shared" si="18"/>
        <v>3397769</v>
      </c>
      <c r="I44" s="984">
        <f t="shared" si="19"/>
        <v>2228571</v>
      </c>
      <c r="J44" s="1161">
        <v>95922</v>
      </c>
      <c r="K44" s="1161">
        <v>173700</v>
      </c>
      <c r="L44" s="1161">
        <v>0</v>
      </c>
      <c r="M44" s="1161">
        <v>1958949</v>
      </c>
      <c r="N44" s="1161">
        <v>0</v>
      </c>
      <c r="O44" s="1161">
        <v>0</v>
      </c>
      <c r="P44" s="1161">
        <v>0</v>
      </c>
      <c r="Q44" s="1161">
        <v>0</v>
      </c>
      <c r="R44" s="1161">
        <v>1169198</v>
      </c>
      <c r="S44" s="984">
        <f t="shared" si="20"/>
        <v>3128147</v>
      </c>
      <c r="T44" s="1174">
        <f t="shared" si="5"/>
        <v>0.12098425403543348</v>
      </c>
    </row>
    <row r="45" spans="1:20" ht="24.75" customHeight="1">
      <c r="A45" s="1115">
        <v>5</v>
      </c>
      <c r="B45" s="939" t="s">
        <v>668</v>
      </c>
      <c r="C45" s="984">
        <f t="shared" si="17"/>
        <v>1476630</v>
      </c>
      <c r="D45" s="1161">
        <v>1368529</v>
      </c>
      <c r="E45" s="1161">
        <v>108101</v>
      </c>
      <c r="F45" s="1161">
        <v>0</v>
      </c>
      <c r="G45" s="1161"/>
      <c r="H45" s="984">
        <f t="shared" si="18"/>
        <v>1476630</v>
      </c>
      <c r="I45" s="984">
        <f t="shared" si="19"/>
        <v>152224</v>
      </c>
      <c r="J45" s="1161">
        <v>29661</v>
      </c>
      <c r="K45" s="1161">
        <v>0</v>
      </c>
      <c r="L45" s="1161">
        <v>0</v>
      </c>
      <c r="M45" s="1161">
        <v>122363</v>
      </c>
      <c r="N45" s="1161">
        <v>0</v>
      </c>
      <c r="O45" s="1161">
        <v>0</v>
      </c>
      <c r="P45" s="1161">
        <v>0</v>
      </c>
      <c r="Q45" s="1161">
        <v>200</v>
      </c>
      <c r="R45" s="1161">
        <v>1324406</v>
      </c>
      <c r="S45" s="984">
        <f t="shared" si="20"/>
        <v>1446969</v>
      </c>
      <c r="T45" s="1174">
        <f t="shared" si="5"/>
        <v>0.1948510090393105</v>
      </c>
    </row>
    <row r="46" spans="1:20" ht="24.75" customHeight="1">
      <c r="A46" s="1115">
        <v>6</v>
      </c>
      <c r="B46" s="939" t="s">
        <v>696</v>
      </c>
      <c r="C46" s="984">
        <f t="shared" si="17"/>
        <v>3735534</v>
      </c>
      <c r="D46" s="1161">
        <v>3254194</v>
      </c>
      <c r="E46" s="1161">
        <v>481340</v>
      </c>
      <c r="F46" s="1161">
        <v>0</v>
      </c>
      <c r="G46" s="1161"/>
      <c r="H46" s="984">
        <f t="shared" si="18"/>
        <v>3735534</v>
      </c>
      <c r="I46" s="1185">
        <f t="shared" si="19"/>
        <v>1420502</v>
      </c>
      <c r="J46" s="1161">
        <v>181165</v>
      </c>
      <c r="K46" s="1161">
        <v>43110</v>
      </c>
      <c r="L46" s="1161">
        <v>0</v>
      </c>
      <c r="M46" s="1161">
        <v>531279</v>
      </c>
      <c r="N46" s="1161">
        <v>626932</v>
      </c>
      <c r="O46" s="1161">
        <v>0</v>
      </c>
      <c r="P46" s="1161">
        <v>0</v>
      </c>
      <c r="Q46" s="1161">
        <v>38016</v>
      </c>
      <c r="R46" s="1161">
        <v>2315032</v>
      </c>
      <c r="S46" s="984">
        <f t="shared" si="20"/>
        <v>3511259</v>
      </c>
      <c r="T46" s="1174">
        <f t="shared" si="5"/>
        <v>0.15788432540045702</v>
      </c>
    </row>
    <row r="47" spans="1:20" ht="24.75" customHeight="1">
      <c r="A47" s="1115">
        <v>7</v>
      </c>
      <c r="B47" s="939" t="s">
        <v>795</v>
      </c>
      <c r="C47" s="984">
        <f t="shared" si="17"/>
        <v>3076173</v>
      </c>
      <c r="D47" s="1161">
        <v>2279408</v>
      </c>
      <c r="E47" s="1161">
        <v>796765</v>
      </c>
      <c r="F47" s="1161">
        <v>3000</v>
      </c>
      <c r="G47" s="1161">
        <v>0</v>
      </c>
      <c r="H47" s="984">
        <f t="shared" si="18"/>
        <v>3073173</v>
      </c>
      <c r="I47" s="1185">
        <f t="shared" si="19"/>
        <v>1326140</v>
      </c>
      <c r="J47" s="1161">
        <v>161845</v>
      </c>
      <c r="K47" s="1161">
        <v>91623</v>
      </c>
      <c r="L47" s="1161">
        <v>0</v>
      </c>
      <c r="M47" s="1161">
        <v>288336</v>
      </c>
      <c r="N47" s="1161">
        <v>784000</v>
      </c>
      <c r="O47" s="1161">
        <v>0</v>
      </c>
      <c r="P47" s="1161">
        <v>0</v>
      </c>
      <c r="Q47" s="1161">
        <v>336</v>
      </c>
      <c r="R47" s="1161">
        <v>1747033</v>
      </c>
      <c r="S47" s="984">
        <f t="shared" si="20"/>
        <v>2819705</v>
      </c>
      <c r="T47" s="1174">
        <f t="shared" si="5"/>
        <v>0.19113215799236882</v>
      </c>
    </row>
    <row r="48" spans="1:20" ht="24.75" customHeight="1">
      <c r="A48" s="914">
        <v>4</v>
      </c>
      <c r="B48" s="1156" t="s">
        <v>690</v>
      </c>
      <c r="C48" s="1162">
        <f>SUM(C49:C52)</f>
        <v>13352427</v>
      </c>
      <c r="D48" s="1162">
        <f>SUM(D49:D52)</f>
        <v>10602855</v>
      </c>
      <c r="E48" s="1162">
        <f>SUM(E49:E52)</f>
        <v>2749572</v>
      </c>
      <c r="F48" s="1162">
        <f>SUM(F49:F52)</f>
        <v>7472838</v>
      </c>
      <c r="G48" s="1162">
        <f>SUM(G49:G52)</f>
        <v>0</v>
      </c>
      <c r="H48" s="1162">
        <f t="shared" si="18"/>
        <v>5879589</v>
      </c>
      <c r="I48" s="1162">
        <f t="shared" si="19"/>
        <v>2286595</v>
      </c>
      <c r="J48" s="1162">
        <f>SUM(J49:J52)</f>
        <v>1219310</v>
      </c>
      <c r="K48" s="1162">
        <f>SUM(K49:K52)</f>
        <v>46610</v>
      </c>
      <c r="L48" s="1162">
        <f>SUM(L49:L52)</f>
        <v>0</v>
      </c>
      <c r="M48" s="1162">
        <f aca="true" t="shared" si="21" ref="M48:S48">SUM(M49:M52)</f>
        <v>870675</v>
      </c>
      <c r="N48" s="1162">
        <f t="shared" si="21"/>
        <v>150000</v>
      </c>
      <c r="O48" s="1162">
        <f t="shared" si="21"/>
        <v>0</v>
      </c>
      <c r="P48" s="1162">
        <f t="shared" si="21"/>
        <v>0</v>
      </c>
      <c r="Q48" s="1162">
        <f t="shared" si="21"/>
        <v>0</v>
      </c>
      <c r="R48" s="1162">
        <f t="shared" si="21"/>
        <v>3592994</v>
      </c>
      <c r="S48" s="1162">
        <f t="shared" si="21"/>
        <v>4613669</v>
      </c>
      <c r="T48" s="1173">
        <f>(K48+J48+L48)/I48</f>
        <v>0.5536266807195852</v>
      </c>
    </row>
    <row r="49" spans="1:20" ht="24.75" customHeight="1">
      <c r="A49" s="915" t="s">
        <v>51</v>
      </c>
      <c r="B49" s="1163" t="s">
        <v>699</v>
      </c>
      <c r="C49" s="984">
        <f t="shared" si="17"/>
        <v>852129</v>
      </c>
      <c r="D49" s="929">
        <v>770561</v>
      </c>
      <c r="E49" s="929">
        <v>81568</v>
      </c>
      <c r="F49" s="929">
        <v>250</v>
      </c>
      <c r="G49" s="929"/>
      <c r="H49" s="1185">
        <f t="shared" si="18"/>
        <v>851879</v>
      </c>
      <c r="I49" s="1185">
        <f t="shared" si="19"/>
        <v>128694</v>
      </c>
      <c r="J49" s="929">
        <v>75818</v>
      </c>
      <c r="K49" s="929">
        <v>15576</v>
      </c>
      <c r="L49" s="929"/>
      <c r="M49" s="929">
        <v>37300</v>
      </c>
      <c r="N49" s="929"/>
      <c r="O49" s="929"/>
      <c r="P49" s="929"/>
      <c r="Q49" s="1164"/>
      <c r="R49" s="1184">
        <v>723185</v>
      </c>
      <c r="S49" s="984">
        <f>C49-F49-G49-J49-K49-L49</f>
        <v>760485</v>
      </c>
      <c r="T49" s="1174">
        <f t="shared" si="5"/>
        <v>0.710165198066732</v>
      </c>
    </row>
    <row r="50" spans="1:20" ht="24.75" customHeight="1">
      <c r="A50" s="915">
        <v>2</v>
      </c>
      <c r="B50" s="1163" t="s">
        <v>692</v>
      </c>
      <c r="C50" s="984">
        <f t="shared" si="17"/>
        <v>2365608</v>
      </c>
      <c r="D50" s="929">
        <v>595717</v>
      </c>
      <c r="E50" s="929">
        <v>1769891</v>
      </c>
      <c r="F50" s="929">
        <v>500</v>
      </c>
      <c r="G50" s="929"/>
      <c r="H50" s="1185">
        <f t="shared" si="18"/>
        <v>2365108</v>
      </c>
      <c r="I50" s="1185">
        <f t="shared" si="19"/>
        <v>1221270</v>
      </c>
      <c r="J50" s="929">
        <v>778376</v>
      </c>
      <c r="K50" s="929">
        <v>31034</v>
      </c>
      <c r="L50" s="929"/>
      <c r="M50" s="929">
        <v>411860</v>
      </c>
      <c r="N50" s="929"/>
      <c r="O50" s="929"/>
      <c r="P50" s="929"/>
      <c r="Q50" s="1164"/>
      <c r="R50" s="1184">
        <v>1143838</v>
      </c>
      <c r="S50" s="984">
        <f>C50-F50-G50-J50-K50-L50</f>
        <v>1555698</v>
      </c>
      <c r="T50" s="1174">
        <f t="shared" si="5"/>
        <v>0.6627608964438658</v>
      </c>
    </row>
    <row r="51" spans="1:20" ht="24.75" customHeight="1">
      <c r="A51" s="915">
        <v>3</v>
      </c>
      <c r="B51" s="1163" t="s">
        <v>688</v>
      </c>
      <c r="C51" s="984">
        <f t="shared" si="17"/>
        <v>9798387</v>
      </c>
      <c r="D51" s="929">
        <v>9136000</v>
      </c>
      <c r="E51" s="929">
        <v>662387</v>
      </c>
      <c r="F51" s="929">
        <v>7455288</v>
      </c>
      <c r="G51" s="929"/>
      <c r="H51" s="1185">
        <f t="shared" si="18"/>
        <v>2343099</v>
      </c>
      <c r="I51" s="1185">
        <f t="shared" si="19"/>
        <v>744192</v>
      </c>
      <c r="J51" s="929">
        <v>202645</v>
      </c>
      <c r="K51" s="929">
        <v>0</v>
      </c>
      <c r="L51" s="929"/>
      <c r="M51" s="929">
        <v>391547</v>
      </c>
      <c r="N51" s="929">
        <v>150000</v>
      </c>
      <c r="O51" s="929"/>
      <c r="P51" s="929"/>
      <c r="Q51" s="1164"/>
      <c r="R51" s="1184">
        <v>1598907</v>
      </c>
      <c r="S51" s="984">
        <f>C51-F51-G51-J51-K51-L51</f>
        <v>2140454</v>
      </c>
      <c r="T51" s="1174">
        <f t="shared" si="5"/>
        <v>0.27230204033367733</v>
      </c>
    </row>
    <row r="52" spans="1:20" ht="24.75" customHeight="1">
      <c r="A52" s="915">
        <v>4</v>
      </c>
      <c r="B52" s="1163" t="s">
        <v>804</v>
      </c>
      <c r="C52" s="984">
        <f t="shared" si="17"/>
        <v>336303</v>
      </c>
      <c r="D52" s="1161">
        <v>100577</v>
      </c>
      <c r="E52" s="1161">
        <v>235726</v>
      </c>
      <c r="F52" s="1161">
        <v>16800</v>
      </c>
      <c r="G52" s="929"/>
      <c r="H52" s="1185">
        <f t="shared" si="18"/>
        <v>319503</v>
      </c>
      <c r="I52" s="1185">
        <f t="shared" si="19"/>
        <v>192439</v>
      </c>
      <c r="J52" s="1161">
        <v>162471</v>
      </c>
      <c r="K52" s="1161"/>
      <c r="L52" s="1161"/>
      <c r="M52" s="1161">
        <v>29968</v>
      </c>
      <c r="N52" s="1161"/>
      <c r="O52" s="1161"/>
      <c r="P52" s="1161"/>
      <c r="Q52" s="1161"/>
      <c r="R52" s="1184">
        <v>127064</v>
      </c>
      <c r="S52" s="984">
        <f>C52-F52-G52-J52-K52-L52</f>
        <v>157032</v>
      </c>
      <c r="T52" s="1174">
        <f t="shared" si="5"/>
        <v>0.8442727305795603</v>
      </c>
    </row>
    <row r="53" spans="1:20" ht="24.75" customHeight="1">
      <c r="A53" s="914">
        <v>5</v>
      </c>
      <c r="B53" s="1156" t="s">
        <v>693</v>
      </c>
      <c r="C53" s="1162">
        <f>D53+E53</f>
        <v>6465687</v>
      </c>
      <c r="D53" s="1162">
        <f>SUM(D54:D57)</f>
        <v>4446120</v>
      </c>
      <c r="E53" s="1162">
        <f>SUM(E54:E57)</f>
        <v>2019567</v>
      </c>
      <c r="F53" s="1162">
        <f>SUM(F54:F57)</f>
        <v>14050</v>
      </c>
      <c r="G53" s="1162">
        <f>SUM(G54:G57)</f>
        <v>0</v>
      </c>
      <c r="H53" s="1162">
        <f t="shared" si="18"/>
        <v>6451637</v>
      </c>
      <c r="I53" s="1162">
        <f t="shared" si="19"/>
        <v>3455752</v>
      </c>
      <c r="J53" s="1162">
        <f aca="true" t="shared" si="22" ref="J53:R53">SUM(J54:J57)</f>
        <v>1157181</v>
      </c>
      <c r="K53" s="1162">
        <f t="shared" si="22"/>
        <v>180576</v>
      </c>
      <c r="L53" s="1162">
        <f t="shared" si="22"/>
        <v>9226</v>
      </c>
      <c r="M53" s="1162">
        <f t="shared" si="22"/>
        <v>2108769</v>
      </c>
      <c r="N53" s="1162">
        <f t="shared" si="22"/>
        <v>0</v>
      </c>
      <c r="O53" s="1162">
        <f t="shared" si="22"/>
        <v>0</v>
      </c>
      <c r="P53" s="1162">
        <f t="shared" si="22"/>
        <v>0</v>
      </c>
      <c r="Q53" s="1162">
        <f t="shared" si="22"/>
        <v>0</v>
      </c>
      <c r="R53" s="1162">
        <f t="shared" si="22"/>
        <v>2995885</v>
      </c>
      <c r="S53" s="1162">
        <f>SUM(S54:S57)</f>
        <v>5104654</v>
      </c>
      <c r="T53" s="1173">
        <f t="shared" si="5"/>
        <v>0.3897799957867347</v>
      </c>
    </row>
    <row r="54" spans="1:20" ht="24.75" customHeight="1">
      <c r="A54" s="915" t="s">
        <v>51</v>
      </c>
      <c r="B54" s="1165" t="s">
        <v>694</v>
      </c>
      <c r="C54" s="984">
        <f>D54+E54</f>
        <v>442087</v>
      </c>
      <c r="D54" s="930">
        <v>335255</v>
      </c>
      <c r="E54" s="930">
        <v>106832</v>
      </c>
      <c r="F54" s="930"/>
      <c r="G54" s="930"/>
      <c r="H54" s="984">
        <f t="shared" si="18"/>
        <v>442087</v>
      </c>
      <c r="I54" s="984">
        <f t="shared" si="19"/>
        <v>213576</v>
      </c>
      <c r="J54" s="930">
        <v>87052</v>
      </c>
      <c r="K54" s="930">
        <v>20500</v>
      </c>
      <c r="L54" s="930"/>
      <c r="M54" s="930">
        <v>106024</v>
      </c>
      <c r="N54" s="930"/>
      <c r="O54" s="932"/>
      <c r="P54" s="932"/>
      <c r="Q54" s="932"/>
      <c r="R54" s="933">
        <v>228511</v>
      </c>
      <c r="S54" s="984">
        <f>C54-F54-G54-J54-K54-L54</f>
        <v>334535</v>
      </c>
      <c r="T54" s="1174">
        <f t="shared" si="5"/>
        <v>0.5035771809566618</v>
      </c>
    </row>
    <row r="55" spans="1:20" ht="24.75" customHeight="1">
      <c r="A55" s="915">
        <v>2</v>
      </c>
      <c r="B55" s="1165" t="s">
        <v>695</v>
      </c>
      <c r="C55" s="984">
        <f>D55+E55</f>
        <v>1187645</v>
      </c>
      <c r="D55" s="930">
        <v>888908</v>
      </c>
      <c r="E55" s="930">
        <v>298737</v>
      </c>
      <c r="F55" s="930">
        <v>12150</v>
      </c>
      <c r="G55" s="930"/>
      <c r="H55" s="984">
        <f t="shared" si="18"/>
        <v>1175495</v>
      </c>
      <c r="I55" s="984">
        <f t="shared" si="19"/>
        <v>652514</v>
      </c>
      <c r="J55" s="930">
        <v>174508</v>
      </c>
      <c r="K55" s="930">
        <v>63966</v>
      </c>
      <c r="L55" s="930">
        <v>5542</v>
      </c>
      <c r="M55" s="930">
        <v>408498</v>
      </c>
      <c r="N55" s="930">
        <v>0</v>
      </c>
      <c r="O55" s="932"/>
      <c r="P55" s="932"/>
      <c r="Q55" s="932"/>
      <c r="R55" s="933">
        <v>522981</v>
      </c>
      <c r="S55" s="984">
        <f>C55-F55-G55-J55-K55-L55</f>
        <v>931479</v>
      </c>
      <c r="T55" s="1174">
        <f t="shared" si="5"/>
        <v>0.373962857501908</v>
      </c>
    </row>
    <row r="56" spans="1:20" ht="24.75" customHeight="1">
      <c r="A56" s="915">
        <v>3</v>
      </c>
      <c r="B56" s="1165" t="s">
        <v>689</v>
      </c>
      <c r="C56" s="984">
        <f>D56+E56</f>
        <v>2904030</v>
      </c>
      <c r="D56" s="930">
        <v>2101168</v>
      </c>
      <c r="E56" s="930">
        <v>802862</v>
      </c>
      <c r="F56" s="930"/>
      <c r="G56" s="930"/>
      <c r="H56" s="984">
        <f t="shared" si="18"/>
        <v>2904030</v>
      </c>
      <c r="I56" s="984">
        <f t="shared" si="19"/>
        <v>1198447</v>
      </c>
      <c r="J56" s="930">
        <v>485530</v>
      </c>
      <c r="K56" s="930">
        <v>85187</v>
      </c>
      <c r="L56" s="930"/>
      <c r="M56" s="930">
        <v>627730</v>
      </c>
      <c r="N56" s="930"/>
      <c r="O56" s="932"/>
      <c r="P56" s="932"/>
      <c r="Q56" s="932"/>
      <c r="R56" s="933">
        <v>1705583</v>
      </c>
      <c r="S56" s="984">
        <f>C56-F56-G56-J56-K56-L56</f>
        <v>2333313</v>
      </c>
      <c r="T56" s="1174">
        <f t="shared" si="5"/>
        <v>0.47621380002620056</v>
      </c>
    </row>
    <row r="57" spans="1:20" ht="24.75" customHeight="1">
      <c r="A57" s="915">
        <v>4</v>
      </c>
      <c r="B57" s="1165" t="s">
        <v>697</v>
      </c>
      <c r="C57" s="984">
        <f>D57+E57</f>
        <v>1931925</v>
      </c>
      <c r="D57" s="930">
        <v>1120789</v>
      </c>
      <c r="E57" s="930">
        <v>811136</v>
      </c>
      <c r="F57" s="930">
        <v>1900</v>
      </c>
      <c r="G57" s="930"/>
      <c r="H57" s="984">
        <f t="shared" si="18"/>
        <v>1930025</v>
      </c>
      <c r="I57" s="984">
        <f t="shared" si="19"/>
        <v>1391215</v>
      </c>
      <c r="J57" s="930">
        <v>410091</v>
      </c>
      <c r="K57" s="930">
        <v>10923</v>
      </c>
      <c r="L57" s="930">
        <v>3684</v>
      </c>
      <c r="M57" s="930">
        <v>966517</v>
      </c>
      <c r="N57" s="930"/>
      <c r="O57" s="932"/>
      <c r="P57" s="932"/>
      <c r="Q57" s="932"/>
      <c r="R57" s="933">
        <v>538810</v>
      </c>
      <c r="S57" s="984">
        <f>C57-F57-G57-J57-K57-L57</f>
        <v>1505327</v>
      </c>
      <c r="T57" s="1174">
        <f t="shared" si="5"/>
        <v>0.30527129164076006</v>
      </c>
    </row>
    <row r="58" spans="1:20" ht="24.75" customHeight="1">
      <c r="A58" s="914">
        <v>6</v>
      </c>
      <c r="B58" s="1156" t="s">
        <v>698</v>
      </c>
      <c r="C58" s="1162">
        <f t="shared" si="17"/>
        <v>1757180</v>
      </c>
      <c r="D58" s="1162">
        <f>D59+D60</f>
        <v>1051654</v>
      </c>
      <c r="E58" s="1162">
        <f>SUM(E59:E60)</f>
        <v>705526</v>
      </c>
      <c r="F58" s="1162">
        <f>SUM(F59:F60)</f>
        <v>400</v>
      </c>
      <c r="G58" s="1162">
        <f>SUM(G59:G60)</f>
        <v>0</v>
      </c>
      <c r="H58" s="1162">
        <f t="shared" si="18"/>
        <v>1756780</v>
      </c>
      <c r="I58" s="1162">
        <f t="shared" si="19"/>
        <v>801775</v>
      </c>
      <c r="J58" s="1162">
        <f aca="true" t="shared" si="23" ref="J58:S58">SUM(J59:J60)</f>
        <v>187996</v>
      </c>
      <c r="K58" s="1162">
        <f t="shared" si="23"/>
        <v>3409</v>
      </c>
      <c r="L58" s="1162">
        <f t="shared" si="23"/>
        <v>0</v>
      </c>
      <c r="M58" s="1162">
        <f t="shared" si="23"/>
        <v>610370</v>
      </c>
      <c r="N58" s="1162">
        <f t="shared" si="23"/>
        <v>0</v>
      </c>
      <c r="O58" s="1162">
        <f t="shared" si="23"/>
        <v>0</v>
      </c>
      <c r="P58" s="1162">
        <f t="shared" si="23"/>
        <v>0</v>
      </c>
      <c r="Q58" s="1162">
        <f t="shared" si="23"/>
        <v>0</v>
      </c>
      <c r="R58" s="1162">
        <f t="shared" si="23"/>
        <v>955005</v>
      </c>
      <c r="S58" s="1162">
        <f t="shared" si="23"/>
        <v>1565375</v>
      </c>
      <c r="T58" s="1173">
        <f t="shared" si="5"/>
        <v>0.23872657541080727</v>
      </c>
    </row>
    <row r="59" spans="1:20" ht="24.75" customHeight="1">
      <c r="A59" s="915" t="s">
        <v>51</v>
      </c>
      <c r="B59" s="1163" t="s">
        <v>691</v>
      </c>
      <c r="C59" s="984">
        <f t="shared" si="17"/>
        <v>1159494</v>
      </c>
      <c r="D59" s="930">
        <v>666435</v>
      </c>
      <c r="E59" s="930">
        <v>493059</v>
      </c>
      <c r="F59" s="930">
        <v>0</v>
      </c>
      <c r="G59" s="930"/>
      <c r="H59" s="929">
        <f t="shared" si="18"/>
        <v>1159494</v>
      </c>
      <c r="I59" s="929">
        <f>SUM(J59:Q59)</f>
        <v>638279</v>
      </c>
      <c r="J59" s="930">
        <v>91214</v>
      </c>
      <c r="K59" s="930">
        <v>0</v>
      </c>
      <c r="L59" s="930">
        <v>0</v>
      </c>
      <c r="M59" s="930">
        <v>547065</v>
      </c>
      <c r="N59" s="930">
        <v>0</v>
      </c>
      <c r="O59" s="932">
        <v>0</v>
      </c>
      <c r="P59" s="932">
        <v>0</v>
      </c>
      <c r="Q59" s="932">
        <v>0</v>
      </c>
      <c r="R59" s="1176">
        <v>521215</v>
      </c>
      <c r="S59" s="984">
        <f>C59-F59-G59-J59-K59-L59</f>
        <v>1068280</v>
      </c>
      <c r="T59" s="1174">
        <f t="shared" si="5"/>
        <v>0.14290615859208905</v>
      </c>
    </row>
    <row r="60" spans="1:20" ht="24.75" customHeight="1">
      <c r="A60" s="915" t="s">
        <v>52</v>
      </c>
      <c r="B60" s="1163" t="s">
        <v>700</v>
      </c>
      <c r="C60" s="984">
        <f t="shared" si="17"/>
        <v>597686</v>
      </c>
      <c r="D60" s="1166">
        <v>385219</v>
      </c>
      <c r="E60" s="930">
        <v>212467</v>
      </c>
      <c r="F60" s="1166">
        <v>400</v>
      </c>
      <c r="G60" s="1166"/>
      <c r="H60" s="929">
        <f t="shared" si="18"/>
        <v>597286</v>
      </c>
      <c r="I60" s="929">
        <f t="shared" si="19"/>
        <v>163496</v>
      </c>
      <c r="J60" s="930">
        <v>96782</v>
      </c>
      <c r="K60" s="930">
        <v>3409</v>
      </c>
      <c r="L60" s="1166">
        <v>0</v>
      </c>
      <c r="M60" s="930">
        <v>63305</v>
      </c>
      <c r="N60" s="1166">
        <v>0</v>
      </c>
      <c r="O60" s="1177">
        <v>0</v>
      </c>
      <c r="P60" s="1177">
        <v>0</v>
      </c>
      <c r="Q60" s="1177">
        <v>0</v>
      </c>
      <c r="R60" s="1176">
        <v>433790</v>
      </c>
      <c r="S60" s="984">
        <f>C60-F60-G60-J60-K60-L60</f>
        <v>497095</v>
      </c>
      <c r="T60" s="1174">
        <f t="shared" si="5"/>
        <v>0.6128039829720605</v>
      </c>
    </row>
    <row r="61" spans="1:20" ht="24.75" customHeight="1">
      <c r="A61" s="914">
        <v>7</v>
      </c>
      <c r="B61" s="1156" t="s">
        <v>701</v>
      </c>
      <c r="C61" s="1162">
        <f t="shared" si="17"/>
        <v>2429524</v>
      </c>
      <c r="D61" s="1162">
        <f>SUM(D62:D63)</f>
        <v>1844360</v>
      </c>
      <c r="E61" s="1162">
        <f aca="true" t="shared" si="24" ref="E61:S61">SUM(E62:E63)</f>
        <v>585164</v>
      </c>
      <c r="F61" s="1162">
        <f t="shared" si="24"/>
        <v>0</v>
      </c>
      <c r="G61" s="1162">
        <f t="shared" si="24"/>
        <v>0</v>
      </c>
      <c r="H61" s="1162">
        <f t="shared" si="24"/>
        <v>2429524</v>
      </c>
      <c r="I61" s="1162">
        <f t="shared" si="24"/>
        <v>628364</v>
      </c>
      <c r="J61" s="1162">
        <f t="shared" si="24"/>
        <v>261969</v>
      </c>
      <c r="K61" s="1162">
        <f t="shared" si="24"/>
        <v>1000</v>
      </c>
      <c r="L61" s="1162">
        <f t="shared" si="24"/>
        <v>0</v>
      </c>
      <c r="M61" s="1162">
        <f t="shared" si="24"/>
        <v>365395</v>
      </c>
      <c r="N61" s="1162">
        <f t="shared" si="24"/>
        <v>0</v>
      </c>
      <c r="O61" s="1162">
        <f t="shared" si="24"/>
        <v>0</v>
      </c>
      <c r="P61" s="1162">
        <f t="shared" si="24"/>
        <v>0</v>
      </c>
      <c r="Q61" s="1162">
        <f t="shared" si="24"/>
        <v>0</v>
      </c>
      <c r="R61" s="1162">
        <f t="shared" si="24"/>
        <v>1801160</v>
      </c>
      <c r="S61" s="1162">
        <f t="shared" si="24"/>
        <v>2166555</v>
      </c>
      <c r="T61" s="1173">
        <f t="shared" si="5"/>
        <v>0.41849787702669156</v>
      </c>
    </row>
    <row r="62" spans="1:20" ht="24.75" customHeight="1">
      <c r="A62" s="914">
        <v>1</v>
      </c>
      <c r="B62" s="1167" t="s">
        <v>702</v>
      </c>
      <c r="C62" s="984">
        <f t="shared" si="17"/>
        <v>203800</v>
      </c>
      <c r="D62" s="1121">
        <v>116700</v>
      </c>
      <c r="E62" s="1168">
        <v>87100</v>
      </c>
      <c r="F62" s="1159"/>
      <c r="G62" s="1169"/>
      <c r="H62" s="984">
        <f t="shared" si="18"/>
        <v>203800</v>
      </c>
      <c r="I62" s="984">
        <f t="shared" si="19"/>
        <v>82100</v>
      </c>
      <c r="J62" s="1168">
        <v>10900</v>
      </c>
      <c r="K62" s="1168">
        <v>1000</v>
      </c>
      <c r="L62" s="1170">
        <v>0</v>
      </c>
      <c r="M62" s="1170">
        <v>70200</v>
      </c>
      <c r="N62" s="1171">
        <v>0</v>
      </c>
      <c r="O62" s="1168">
        <v>0</v>
      </c>
      <c r="P62" s="1168">
        <v>0</v>
      </c>
      <c r="Q62" s="1168">
        <v>0</v>
      </c>
      <c r="R62" s="1168">
        <v>121700</v>
      </c>
      <c r="S62" s="984">
        <f>C62-F62-G62-J62-K62-L62</f>
        <v>191900</v>
      </c>
      <c r="T62" s="1174">
        <f t="shared" si="5"/>
        <v>0.14494518879415347</v>
      </c>
    </row>
    <row r="63" spans="1:20" ht="24.75" customHeight="1">
      <c r="A63" s="915">
        <v>2</v>
      </c>
      <c r="B63" s="1167" t="s">
        <v>703</v>
      </c>
      <c r="C63" s="984">
        <f t="shared" si="17"/>
        <v>2225724</v>
      </c>
      <c r="D63" s="1121">
        <v>1727660</v>
      </c>
      <c r="E63" s="1168">
        <v>498064</v>
      </c>
      <c r="F63" s="1159"/>
      <c r="G63" s="1169"/>
      <c r="H63" s="984">
        <f t="shared" si="18"/>
        <v>2225724</v>
      </c>
      <c r="I63" s="984">
        <f t="shared" si="19"/>
        <v>546264</v>
      </c>
      <c r="J63" s="1168">
        <v>251069</v>
      </c>
      <c r="K63" s="1168"/>
      <c r="L63" s="1170">
        <v>0</v>
      </c>
      <c r="M63" s="1170">
        <v>295195</v>
      </c>
      <c r="N63" s="1171">
        <v>0</v>
      </c>
      <c r="O63" s="1168">
        <v>0</v>
      </c>
      <c r="P63" s="1168">
        <v>0</v>
      </c>
      <c r="Q63" s="1168">
        <v>0</v>
      </c>
      <c r="R63" s="1168">
        <v>1679460</v>
      </c>
      <c r="S63" s="984">
        <f>C63-F63-G63-J63-K63-L63</f>
        <v>1974655</v>
      </c>
      <c r="T63" s="1174">
        <f t="shared" si="5"/>
        <v>0.45961110378864434</v>
      </c>
    </row>
    <row r="64" spans="1:22" s="443" customFormat="1" ht="24.75" customHeight="1" thickBot="1">
      <c r="A64" s="1705"/>
      <c r="B64" s="1705"/>
      <c r="C64" s="1705"/>
      <c r="D64" s="1705"/>
      <c r="E64" s="1705"/>
      <c r="F64" s="1705"/>
      <c r="G64" s="1705"/>
      <c r="H64" s="1705"/>
      <c r="I64" s="1705"/>
      <c r="J64" s="1705"/>
      <c r="K64" s="1705"/>
      <c r="L64" s="1705"/>
      <c r="M64" s="1705"/>
      <c r="N64" s="1705"/>
      <c r="O64" s="1705"/>
      <c r="P64" s="1705"/>
      <c r="Q64" s="1705"/>
      <c r="R64" s="1705"/>
      <c r="S64" s="1705"/>
      <c r="T64" s="1705"/>
      <c r="U64" s="1705"/>
      <c r="V64" s="1705"/>
    </row>
    <row r="65" spans="1:20" s="434" customFormat="1" ht="21.75" customHeight="1" thickTop="1">
      <c r="A65" s="1708"/>
      <c r="B65" s="1708"/>
      <c r="C65" s="1708"/>
      <c r="D65" s="1708"/>
      <c r="E65" s="1708"/>
      <c r="F65" s="916"/>
      <c r="G65" s="917"/>
      <c r="H65" s="917"/>
      <c r="I65" s="917"/>
      <c r="J65" s="917"/>
      <c r="K65" s="917"/>
      <c r="L65" s="917"/>
      <c r="M65" s="917"/>
      <c r="N65" s="917"/>
      <c r="O65" s="1729" t="str">
        <f>'Thong tin'!B8</f>
        <v>Tuyên Quang, ngày 05 tháng 04 năm 2018</v>
      </c>
      <c r="P65" s="1729"/>
      <c r="Q65" s="1729"/>
      <c r="R65" s="1729"/>
      <c r="S65" s="1729"/>
      <c r="T65" s="1729"/>
    </row>
    <row r="66" spans="1:20" s="501" customFormat="1" ht="22.5" customHeight="1">
      <c r="A66" s="918"/>
      <c r="B66" s="1723" t="s">
        <v>4</v>
      </c>
      <c r="C66" s="1723"/>
      <c r="D66" s="1723"/>
      <c r="E66" s="1723"/>
      <c r="F66" s="919"/>
      <c r="G66" s="919"/>
      <c r="H66" s="919"/>
      <c r="I66" s="919"/>
      <c r="J66" s="919"/>
      <c r="K66" s="919"/>
      <c r="L66" s="919"/>
      <c r="M66" s="919"/>
      <c r="N66" s="919"/>
      <c r="O66" s="1726" t="str">
        <f>'Thong tin'!B7</f>
        <v>CỤC TRƯỞNG</v>
      </c>
      <c r="P66" s="1726"/>
      <c r="Q66" s="1726"/>
      <c r="R66" s="1726"/>
      <c r="S66" s="1726"/>
      <c r="T66" s="1726"/>
    </row>
    <row r="67" spans="1:20" ht="18.75">
      <c r="A67" s="536"/>
      <c r="B67" s="1664"/>
      <c r="C67" s="1664"/>
      <c r="D67" s="1664"/>
      <c r="E67" s="542"/>
      <c r="F67" s="542"/>
      <c r="G67" s="542"/>
      <c r="H67" s="542"/>
      <c r="I67" s="542"/>
      <c r="J67" s="542"/>
      <c r="K67" s="542"/>
      <c r="L67" s="542"/>
      <c r="M67" s="542"/>
      <c r="N67" s="542"/>
      <c r="O67" s="1665"/>
      <c r="P67" s="1665"/>
      <c r="Q67" s="1665"/>
      <c r="R67" s="1665"/>
      <c r="S67" s="1665"/>
      <c r="T67" s="1665"/>
    </row>
    <row r="68" spans="1:20" ht="18.75">
      <c r="A68" s="536"/>
      <c r="B68" s="536"/>
      <c r="C68" s="536"/>
      <c r="D68" s="542"/>
      <c r="E68" s="542"/>
      <c r="F68" s="542"/>
      <c r="G68" s="542"/>
      <c r="H68" s="542"/>
      <c r="I68" s="542"/>
      <c r="J68" s="542"/>
      <c r="K68" s="542"/>
      <c r="L68" s="542"/>
      <c r="M68" s="542"/>
      <c r="N68" s="542"/>
      <c r="O68" s="542"/>
      <c r="P68" s="542"/>
      <c r="Q68" s="542"/>
      <c r="R68" s="542"/>
      <c r="S68" s="536"/>
      <c r="T68" s="536"/>
    </row>
    <row r="69" spans="1:20" ht="15.75">
      <c r="A69" s="530"/>
      <c r="B69" s="1698"/>
      <c r="C69" s="1698"/>
      <c r="D69" s="1698"/>
      <c r="E69" s="554"/>
      <c r="F69" s="554"/>
      <c r="G69" s="554"/>
      <c r="H69" s="554"/>
      <c r="I69" s="554"/>
      <c r="J69" s="554"/>
      <c r="K69" s="554"/>
      <c r="L69" s="554"/>
      <c r="M69" s="554"/>
      <c r="N69" s="554"/>
      <c r="O69" s="554"/>
      <c r="P69" s="554"/>
      <c r="Q69" s="1698"/>
      <c r="R69" s="1698"/>
      <c r="S69" s="1698"/>
      <c r="T69" s="530"/>
    </row>
    <row r="70" spans="1:20" ht="15.75" customHeight="1">
      <c r="A70" s="555"/>
      <c r="B70" s="549"/>
      <c r="C70" s="549"/>
      <c r="D70" s="556"/>
      <c r="E70" s="556"/>
      <c r="F70" s="556"/>
      <c r="G70" s="556"/>
      <c r="H70" s="556"/>
      <c r="I70" s="556"/>
      <c r="J70" s="556"/>
      <c r="K70" s="556"/>
      <c r="L70" s="556"/>
      <c r="M70" s="556"/>
      <c r="N70" s="556"/>
      <c r="O70" s="556"/>
      <c r="P70" s="556"/>
      <c r="Q70" s="556"/>
      <c r="R70" s="556"/>
      <c r="S70" s="549"/>
      <c r="T70" s="549"/>
    </row>
    <row r="71" spans="1:20" ht="15.75" customHeight="1">
      <c r="A71" s="530"/>
      <c r="B71" s="1657"/>
      <c r="C71" s="1657"/>
      <c r="D71" s="1657"/>
      <c r="E71" s="1657"/>
      <c r="F71" s="1657"/>
      <c r="G71" s="1657"/>
      <c r="H71" s="1657"/>
      <c r="I71" s="1657"/>
      <c r="J71" s="1657"/>
      <c r="K71" s="1657"/>
      <c r="L71" s="1657"/>
      <c r="M71" s="1657"/>
      <c r="N71" s="1657"/>
      <c r="O71" s="1657"/>
      <c r="P71" s="1657"/>
      <c r="Q71" s="554"/>
      <c r="R71" s="554"/>
      <c r="S71" s="530"/>
      <c r="T71" s="530"/>
    </row>
    <row r="72" spans="1:20" ht="15.75">
      <c r="A72" s="557"/>
      <c r="B72" s="557"/>
      <c r="C72" s="557"/>
      <c r="D72" s="557"/>
      <c r="E72" s="557"/>
      <c r="F72" s="557"/>
      <c r="G72" s="557"/>
      <c r="H72" s="557"/>
      <c r="I72" s="557"/>
      <c r="J72" s="557"/>
      <c r="K72" s="557"/>
      <c r="L72" s="557"/>
      <c r="M72" s="557"/>
      <c r="N72" s="557"/>
      <c r="O72" s="557"/>
      <c r="P72" s="557"/>
      <c r="Q72" s="557"/>
      <c r="R72" s="530"/>
      <c r="S72" s="530"/>
      <c r="T72" s="530"/>
    </row>
    <row r="73" spans="1:20" ht="18.75">
      <c r="A73" s="530"/>
      <c r="B73" s="1614" t="str">
        <f>'Thong tin'!B5</f>
        <v>Duy Thị Thúy</v>
      </c>
      <c r="C73" s="1614"/>
      <c r="D73" s="1614"/>
      <c r="E73" s="1614"/>
      <c r="F73" s="549"/>
      <c r="G73" s="549"/>
      <c r="H73" s="549"/>
      <c r="I73" s="549"/>
      <c r="J73" s="549"/>
      <c r="K73" s="549"/>
      <c r="L73" s="549"/>
      <c r="M73" s="549"/>
      <c r="N73" s="549"/>
      <c r="O73" s="1614" t="str">
        <f>'Thong tin'!B6</f>
        <v>Nguyễn Tuyên </v>
      </c>
      <c r="P73" s="1614"/>
      <c r="Q73" s="1614"/>
      <c r="R73" s="1614"/>
      <c r="S73" s="1614"/>
      <c r="T73" s="1614"/>
    </row>
    <row r="74" spans="2:20" ht="18.75">
      <c r="B74" s="1710"/>
      <c r="C74" s="1710"/>
      <c r="D74" s="1710"/>
      <c r="E74" s="1710"/>
      <c r="F74" s="443"/>
      <c r="G74" s="443"/>
      <c r="H74" s="443"/>
      <c r="I74" s="443"/>
      <c r="J74" s="443"/>
      <c r="K74" s="443"/>
      <c r="L74" s="443"/>
      <c r="M74" s="443"/>
      <c r="N74" s="443"/>
      <c r="O74" s="443"/>
      <c r="P74" s="1710"/>
      <c r="Q74" s="1710"/>
      <c r="R74" s="1710"/>
      <c r="S74" s="1710"/>
      <c r="T74" s="1711"/>
    </row>
  </sheetData>
  <sheetProtection/>
  <mergeCells count="40">
    <mergeCell ref="B23:S23"/>
    <mergeCell ref="A2:D2"/>
    <mergeCell ref="Q2:T2"/>
    <mergeCell ref="B66:E66"/>
    <mergeCell ref="A10:B10"/>
    <mergeCell ref="H7:H9"/>
    <mergeCell ref="O66:T66"/>
    <mergeCell ref="T6:T9"/>
    <mergeCell ref="O65:T65"/>
    <mergeCell ref="S6:S9"/>
    <mergeCell ref="C7:C9"/>
    <mergeCell ref="E1:P1"/>
    <mergeCell ref="E2:P2"/>
    <mergeCell ref="E3:P3"/>
    <mergeCell ref="F6:F9"/>
    <mergeCell ref="G6:G9"/>
    <mergeCell ref="H6:R6"/>
    <mergeCell ref="C6:E6"/>
    <mergeCell ref="I7:Q7"/>
    <mergeCell ref="I8:I9"/>
    <mergeCell ref="R7:R9"/>
    <mergeCell ref="A3:D3"/>
    <mergeCell ref="A65:E65"/>
    <mergeCell ref="Q4:T4"/>
    <mergeCell ref="B74:E74"/>
    <mergeCell ref="P74:T74"/>
    <mergeCell ref="B73:E73"/>
    <mergeCell ref="B71:P71"/>
    <mergeCell ref="O73:T73"/>
    <mergeCell ref="Q69:S69"/>
    <mergeCell ref="B69:D69"/>
    <mergeCell ref="O67:T67"/>
    <mergeCell ref="B67:D67"/>
    <mergeCell ref="A6:B9"/>
    <mergeCell ref="Q5:T5"/>
    <mergeCell ref="D7:E7"/>
    <mergeCell ref="D8:D9"/>
    <mergeCell ref="E8:E9"/>
    <mergeCell ref="J8:Q8"/>
    <mergeCell ref="A64:V64"/>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6"/>
  <sheetViews>
    <sheetView zoomScaleSheetLayoutView="85" zoomScalePageLayoutView="0" workbookViewId="0" topLeftCell="A4">
      <selection activeCell="H16" sqref="H16"/>
    </sheetView>
  </sheetViews>
  <sheetFormatPr defaultColWidth="9.00390625" defaultRowHeight="15.75"/>
  <cols>
    <col min="1" max="1" width="3.75390625" style="562" customWidth="1"/>
    <col min="2" max="2" width="25.625" style="562" customWidth="1"/>
    <col min="3" max="3" width="7.50390625" style="562" customWidth="1"/>
    <col min="4" max="4" width="12.375" style="562" customWidth="1"/>
    <col min="5" max="5" width="6.25390625" style="562" customWidth="1"/>
    <col min="6" max="6" width="12.625" style="562" customWidth="1"/>
    <col min="7" max="7" width="8.00390625" style="562" customWidth="1"/>
    <col min="8" max="8" width="11.25390625" style="562" customWidth="1"/>
    <col min="9" max="9" width="7.125" style="562" customWidth="1"/>
    <col min="10" max="10" width="11.25390625" style="562" customWidth="1"/>
    <col min="11" max="11" width="7.375" style="562" customWidth="1"/>
    <col min="12" max="12" width="10.125" style="562" customWidth="1"/>
    <col min="13" max="13" width="6.00390625" style="562" customWidth="1"/>
    <col min="14" max="14" width="12.50390625" style="562" customWidth="1"/>
    <col min="15" max="16384" width="9.00390625" style="562" customWidth="1"/>
  </cols>
  <sheetData>
    <row r="1" spans="1:14" ht="18" customHeight="1">
      <c r="A1" s="1747" t="s">
        <v>35</v>
      </c>
      <c r="B1" s="1747"/>
      <c r="C1" s="1747"/>
      <c r="D1" s="1747"/>
      <c r="E1" s="1748" t="s">
        <v>567</v>
      </c>
      <c r="F1" s="1748"/>
      <c r="G1" s="1748"/>
      <c r="H1" s="1748"/>
      <c r="I1" s="1748"/>
      <c r="J1" s="1748"/>
      <c r="K1" s="1748"/>
      <c r="L1" s="561" t="s">
        <v>568</v>
      </c>
      <c r="M1" s="561"/>
      <c r="N1" s="561"/>
    </row>
    <row r="2" spans="1:14" ht="24" customHeight="1">
      <c r="A2" s="1749" t="s">
        <v>342</v>
      </c>
      <c r="B2" s="1749"/>
      <c r="C2" s="1749"/>
      <c r="D2" s="1749"/>
      <c r="E2" s="1748"/>
      <c r="F2" s="1748"/>
      <c r="G2" s="1748"/>
      <c r="H2" s="1748"/>
      <c r="I2" s="1748"/>
      <c r="J2" s="1748"/>
      <c r="K2" s="1748"/>
      <c r="L2" s="1750" t="str">
        <f>'Thong tin'!B4</f>
        <v>Cục THADS tỉnh Tuyên Quang</v>
      </c>
      <c r="M2" s="1750"/>
      <c r="N2" s="1750"/>
    </row>
    <row r="3" spans="1:14" ht="16.5" customHeight="1">
      <c r="A3" s="1749" t="s">
        <v>343</v>
      </c>
      <c r="B3" s="1749"/>
      <c r="C3" s="1749"/>
      <c r="D3" s="1749"/>
      <c r="E3" s="1754" t="str">
        <f>'Thong tin'!B3</f>
        <v>06 tháng / năm 2018</v>
      </c>
      <c r="F3" s="1754"/>
      <c r="G3" s="1754"/>
      <c r="H3" s="1754"/>
      <c r="I3" s="1754"/>
      <c r="J3" s="1754"/>
      <c r="K3" s="564"/>
      <c r="L3" s="1751" t="s">
        <v>642</v>
      </c>
      <c r="M3" s="1751"/>
      <c r="N3" s="1751"/>
    </row>
    <row r="4" spans="1:14" ht="15.75" customHeight="1">
      <c r="A4" s="1752" t="s">
        <v>362</v>
      </c>
      <c r="B4" s="1752"/>
      <c r="C4" s="1752"/>
      <c r="D4" s="1752"/>
      <c r="E4" s="566"/>
      <c r="F4" s="567"/>
      <c r="G4" s="567"/>
      <c r="H4" s="567"/>
      <c r="I4" s="567"/>
      <c r="J4" s="567"/>
      <c r="L4" s="1753" t="s">
        <v>410</v>
      </c>
      <c r="M4" s="1753"/>
      <c r="N4" s="1753"/>
    </row>
    <row r="5" spans="1:14" ht="18" customHeight="1">
      <c r="A5" s="567"/>
      <c r="D5" s="1741"/>
      <c r="E5" s="1741"/>
      <c r="F5" s="1741"/>
      <c r="G5" s="1741"/>
      <c r="H5" s="1741"/>
      <c r="I5" s="1741"/>
      <c r="J5" s="1741"/>
      <c r="K5" s="1741"/>
      <c r="L5" s="568" t="s">
        <v>363</v>
      </c>
      <c r="M5" s="568"/>
      <c r="N5" s="568"/>
    </row>
    <row r="6" spans="1:14" ht="18" customHeight="1">
      <c r="A6" s="1742" t="s">
        <v>71</v>
      </c>
      <c r="B6" s="1743"/>
      <c r="C6" s="1746" t="s">
        <v>364</v>
      </c>
      <c r="D6" s="1746"/>
      <c r="E6" s="1746"/>
      <c r="F6" s="1746"/>
      <c r="G6" s="1732" t="s">
        <v>7</v>
      </c>
      <c r="H6" s="1735"/>
      <c r="I6" s="1735"/>
      <c r="J6" s="1735"/>
      <c r="K6" s="1735"/>
      <c r="L6" s="1735"/>
      <c r="M6" s="1735"/>
      <c r="N6" s="1736"/>
    </row>
    <row r="7" spans="1:14" ht="36.75" customHeight="1">
      <c r="A7" s="1744"/>
      <c r="B7" s="1745"/>
      <c r="C7" s="1746"/>
      <c r="D7" s="1746"/>
      <c r="E7" s="1746"/>
      <c r="F7" s="1746"/>
      <c r="G7" s="1732" t="s">
        <v>366</v>
      </c>
      <c r="H7" s="1735"/>
      <c r="I7" s="1735"/>
      <c r="J7" s="1736"/>
      <c r="K7" s="1732" t="s">
        <v>109</v>
      </c>
      <c r="L7" s="1735"/>
      <c r="M7" s="1735"/>
      <c r="N7" s="1736"/>
    </row>
    <row r="8" spans="1:14" ht="28.5" customHeight="1">
      <c r="A8" s="1744"/>
      <c r="B8" s="1745"/>
      <c r="C8" s="1732" t="s">
        <v>106</v>
      </c>
      <c r="D8" s="1736"/>
      <c r="E8" s="1732" t="s">
        <v>105</v>
      </c>
      <c r="F8" s="1736"/>
      <c r="G8" s="1732" t="s">
        <v>107</v>
      </c>
      <c r="H8" s="1733"/>
      <c r="I8" s="1732" t="s">
        <v>108</v>
      </c>
      <c r="J8" s="1733"/>
      <c r="K8" s="1732" t="s">
        <v>110</v>
      </c>
      <c r="L8" s="1733"/>
      <c r="M8" s="1732" t="s">
        <v>111</v>
      </c>
      <c r="N8" s="1733"/>
    </row>
    <row r="9" spans="1:14" ht="24.75" customHeight="1">
      <c r="A9" s="1744"/>
      <c r="B9" s="1745"/>
      <c r="C9" s="740" t="s">
        <v>3</v>
      </c>
      <c r="D9" s="739" t="s">
        <v>10</v>
      </c>
      <c r="E9" s="739" t="s">
        <v>3</v>
      </c>
      <c r="F9" s="739" t="s">
        <v>10</v>
      </c>
      <c r="G9" s="739" t="s">
        <v>3</v>
      </c>
      <c r="H9" s="739" t="s">
        <v>10</v>
      </c>
      <c r="I9" s="739" t="s">
        <v>3</v>
      </c>
      <c r="J9" s="739" t="s">
        <v>10</v>
      </c>
      <c r="K9" s="739" t="s">
        <v>3</v>
      </c>
      <c r="L9" s="739" t="s">
        <v>10</v>
      </c>
      <c r="M9" s="739" t="s">
        <v>3</v>
      </c>
      <c r="N9" s="739" t="s">
        <v>10</v>
      </c>
    </row>
    <row r="10" spans="1:14" s="569" customFormat="1" ht="18" customHeight="1">
      <c r="A10" s="1737" t="s">
        <v>6</v>
      </c>
      <c r="B10" s="1737"/>
      <c r="C10" s="843">
        <v>1</v>
      </c>
      <c r="D10" s="843">
        <v>2</v>
      </c>
      <c r="E10" s="843">
        <v>3</v>
      </c>
      <c r="F10" s="843">
        <v>4</v>
      </c>
      <c r="G10" s="843">
        <v>5</v>
      </c>
      <c r="H10" s="843">
        <v>6</v>
      </c>
      <c r="I10" s="843">
        <v>7</v>
      </c>
      <c r="J10" s="843">
        <v>8</v>
      </c>
      <c r="K10" s="843">
        <v>9</v>
      </c>
      <c r="L10" s="843">
        <v>10</v>
      </c>
      <c r="M10" s="843">
        <v>11</v>
      </c>
      <c r="N10" s="843">
        <v>12</v>
      </c>
    </row>
    <row r="11" spans="1:14" s="569" customFormat="1" ht="18" customHeight="1">
      <c r="A11" s="1738" t="s">
        <v>37</v>
      </c>
      <c r="B11" s="1739"/>
      <c r="C11" s="1190">
        <f>C12+C13</f>
        <v>19</v>
      </c>
      <c r="D11" s="1190">
        <f aca="true" t="shared" si="0" ref="D11:N11">D12+D13</f>
        <v>498857</v>
      </c>
      <c r="E11" s="1190">
        <f t="shared" si="0"/>
        <v>15</v>
      </c>
      <c r="F11" s="1190">
        <f t="shared" si="0"/>
        <v>488958</v>
      </c>
      <c r="G11" s="1191">
        <f t="shared" si="0"/>
        <v>19</v>
      </c>
      <c r="H11" s="1190">
        <f t="shared" si="0"/>
        <v>348942</v>
      </c>
      <c r="I11" s="1190">
        <f t="shared" si="0"/>
        <v>15</v>
      </c>
      <c r="J11" s="1190">
        <f t="shared" si="0"/>
        <v>339043</v>
      </c>
      <c r="K11" s="1190">
        <f t="shared" si="0"/>
        <v>0</v>
      </c>
      <c r="L11" s="1190">
        <f t="shared" si="0"/>
        <v>149915</v>
      </c>
      <c r="M11" s="1190">
        <f t="shared" si="0"/>
        <v>0</v>
      </c>
      <c r="N11" s="1190">
        <f t="shared" si="0"/>
        <v>149915</v>
      </c>
    </row>
    <row r="12" spans="1:14" s="569" customFormat="1" ht="18" customHeight="1">
      <c r="A12" s="997" t="s">
        <v>0</v>
      </c>
      <c r="B12" s="1006" t="s">
        <v>97</v>
      </c>
      <c r="C12" s="1192">
        <f>G12+K12</f>
        <v>0</v>
      </c>
      <c r="D12" s="1192">
        <f>H12+L12</f>
        <v>96490</v>
      </c>
      <c r="E12" s="1192">
        <f>I12+M12</f>
        <v>0</v>
      </c>
      <c r="F12" s="1192">
        <f>J12+N12</f>
        <v>96490</v>
      </c>
      <c r="G12" s="1193">
        <v>0</v>
      </c>
      <c r="H12" s="1193">
        <v>14614</v>
      </c>
      <c r="I12" s="1193">
        <v>0</v>
      </c>
      <c r="J12" s="1193">
        <v>14614</v>
      </c>
      <c r="K12" s="1193"/>
      <c r="L12" s="1193">
        <v>81876</v>
      </c>
      <c r="M12" s="1193"/>
      <c r="N12" s="1193">
        <v>81876</v>
      </c>
    </row>
    <row r="13" spans="1:14" s="569" customFormat="1" ht="18" customHeight="1">
      <c r="A13" s="998" t="s">
        <v>1</v>
      </c>
      <c r="B13" s="1005" t="s">
        <v>18</v>
      </c>
      <c r="C13" s="1194">
        <f>C14+C15+C16+C17+C18+C19+C20</f>
        <v>19</v>
      </c>
      <c r="D13" s="1194">
        <f aca="true" t="shared" si="1" ref="D13:N13">D14+D15+D16+D17+D18+D19+D20</f>
        <v>402367</v>
      </c>
      <c r="E13" s="1194">
        <f t="shared" si="1"/>
        <v>15</v>
      </c>
      <c r="F13" s="1194">
        <f t="shared" si="1"/>
        <v>392468</v>
      </c>
      <c r="G13" s="1194">
        <f t="shared" si="1"/>
        <v>19</v>
      </c>
      <c r="H13" s="1194">
        <f t="shared" si="1"/>
        <v>334328</v>
      </c>
      <c r="I13" s="1194">
        <f t="shared" si="1"/>
        <v>15</v>
      </c>
      <c r="J13" s="1194">
        <f t="shared" si="1"/>
        <v>324429</v>
      </c>
      <c r="K13" s="1194">
        <f t="shared" si="1"/>
        <v>0</v>
      </c>
      <c r="L13" s="1194">
        <f>L14+L15+L16+L17+L18+L19+L20</f>
        <v>68039</v>
      </c>
      <c r="M13" s="1194">
        <f t="shared" si="1"/>
        <v>0</v>
      </c>
      <c r="N13" s="1194">
        <f t="shared" si="1"/>
        <v>68039</v>
      </c>
    </row>
    <row r="14" spans="1:14" s="569" customFormat="1" ht="18" customHeight="1">
      <c r="A14" s="998" t="s">
        <v>51</v>
      </c>
      <c r="B14" s="999" t="s">
        <v>709</v>
      </c>
      <c r="C14" s="1195">
        <f aca="true" t="shared" si="2" ref="C14:C20">G14+K14</f>
        <v>3</v>
      </c>
      <c r="D14" s="1195">
        <f aca="true" t="shared" si="3" ref="D14:D20">H14+L14</f>
        <v>35302</v>
      </c>
      <c r="E14" s="1195">
        <f aca="true" t="shared" si="4" ref="E14:E20">I14+M14</f>
        <v>3</v>
      </c>
      <c r="F14" s="1195">
        <f aca="true" t="shared" si="5" ref="F14:F20">J14+N14</f>
        <v>35302</v>
      </c>
      <c r="G14" s="1196">
        <v>3</v>
      </c>
      <c r="H14" s="1196">
        <v>2898</v>
      </c>
      <c r="I14" s="1196">
        <v>3</v>
      </c>
      <c r="J14" s="1196">
        <v>2898</v>
      </c>
      <c r="K14" s="1196">
        <v>0</v>
      </c>
      <c r="L14" s="1196">
        <v>32404</v>
      </c>
      <c r="M14" s="1196">
        <v>0</v>
      </c>
      <c r="N14" s="1196">
        <v>32404</v>
      </c>
    </row>
    <row r="15" spans="1:14" s="569" customFormat="1" ht="18" customHeight="1">
      <c r="A15" s="998" t="s">
        <v>52</v>
      </c>
      <c r="B15" s="1000" t="s">
        <v>710</v>
      </c>
      <c r="C15" s="1195">
        <f t="shared" si="2"/>
        <v>8</v>
      </c>
      <c r="D15" s="1195">
        <f t="shared" si="3"/>
        <v>54145</v>
      </c>
      <c r="E15" s="1195">
        <f t="shared" si="4"/>
        <v>8</v>
      </c>
      <c r="F15" s="1195">
        <f t="shared" si="5"/>
        <v>54145</v>
      </c>
      <c r="G15" s="1197" t="s">
        <v>76</v>
      </c>
      <c r="H15" s="1198">
        <v>27736</v>
      </c>
      <c r="I15" s="1197" t="s">
        <v>76</v>
      </c>
      <c r="J15" s="1198">
        <v>27736</v>
      </c>
      <c r="K15" s="1197" t="s">
        <v>798</v>
      </c>
      <c r="L15" s="1198">
        <v>26409</v>
      </c>
      <c r="M15" s="1197"/>
      <c r="N15" s="1198">
        <v>26409</v>
      </c>
    </row>
    <row r="16" spans="1:14" s="569" customFormat="1" ht="18" customHeight="1">
      <c r="A16" s="998" t="s">
        <v>57</v>
      </c>
      <c r="B16" s="999" t="s">
        <v>711</v>
      </c>
      <c r="C16" s="1195">
        <f t="shared" si="2"/>
        <v>0</v>
      </c>
      <c r="D16" s="1195">
        <f t="shared" si="3"/>
        <v>243400</v>
      </c>
      <c r="E16" s="1195">
        <f t="shared" si="4"/>
        <v>0</v>
      </c>
      <c r="F16" s="1195">
        <f t="shared" si="5"/>
        <v>243400</v>
      </c>
      <c r="G16" s="1196">
        <v>0</v>
      </c>
      <c r="H16" s="1196">
        <v>243400</v>
      </c>
      <c r="I16" s="1196">
        <v>0</v>
      </c>
      <c r="J16" s="1196">
        <v>243400</v>
      </c>
      <c r="K16" s="1196">
        <v>0</v>
      </c>
      <c r="L16" s="1196">
        <v>0</v>
      </c>
      <c r="M16" s="1196">
        <v>0</v>
      </c>
      <c r="N16" s="1196">
        <v>0</v>
      </c>
    </row>
    <row r="17" spans="1:14" s="569" customFormat="1" ht="18" customHeight="1">
      <c r="A17" s="998" t="s">
        <v>72</v>
      </c>
      <c r="B17" s="1004" t="s">
        <v>712</v>
      </c>
      <c r="C17" s="1199">
        <f t="shared" si="2"/>
        <v>4</v>
      </c>
      <c r="D17" s="1199">
        <f>H17+L17</f>
        <v>9899</v>
      </c>
      <c r="E17" s="1199">
        <f t="shared" si="4"/>
        <v>0</v>
      </c>
      <c r="F17" s="1199">
        <f t="shared" si="5"/>
        <v>0</v>
      </c>
      <c r="G17" s="1197" t="s">
        <v>72</v>
      </c>
      <c r="H17" s="1200" t="s">
        <v>808</v>
      </c>
      <c r="I17" s="1201" t="s">
        <v>798</v>
      </c>
      <c r="J17" s="1201" t="s">
        <v>798</v>
      </c>
      <c r="K17" s="1197" t="s">
        <v>798</v>
      </c>
      <c r="L17" s="1197" t="s">
        <v>798</v>
      </c>
      <c r="M17" s="1197" t="s">
        <v>798</v>
      </c>
      <c r="N17" s="1197" t="s">
        <v>798</v>
      </c>
    </row>
    <row r="18" spans="1:14" s="569" customFormat="1" ht="18" customHeight="1">
      <c r="A18" s="998" t="s">
        <v>73</v>
      </c>
      <c r="B18" s="999" t="s">
        <v>713</v>
      </c>
      <c r="C18" s="1199">
        <f>G18+K18</f>
        <v>4</v>
      </c>
      <c r="D18" s="1195">
        <f>H18+L18</f>
        <v>59621</v>
      </c>
      <c r="E18" s="1195">
        <f t="shared" si="4"/>
        <v>4</v>
      </c>
      <c r="F18" s="1195">
        <f t="shared" si="5"/>
        <v>59621</v>
      </c>
      <c r="G18" s="1197" t="s">
        <v>72</v>
      </c>
      <c r="H18" s="1188">
        <v>50395</v>
      </c>
      <c r="I18" s="1189">
        <v>4</v>
      </c>
      <c r="J18" s="1188">
        <v>50395</v>
      </c>
      <c r="K18" s="1187">
        <v>0</v>
      </c>
      <c r="L18" s="1187">
        <v>9226</v>
      </c>
      <c r="M18" s="1187">
        <v>0</v>
      </c>
      <c r="N18" s="1187">
        <v>9226</v>
      </c>
    </row>
    <row r="19" spans="1:14" s="569" customFormat="1" ht="18" customHeight="1">
      <c r="A19" s="998" t="s">
        <v>74</v>
      </c>
      <c r="B19" s="999" t="s">
        <v>714</v>
      </c>
      <c r="C19" s="1199">
        <f t="shared" si="2"/>
        <v>0</v>
      </c>
      <c r="D19" s="1195">
        <f t="shared" si="3"/>
        <v>0</v>
      </c>
      <c r="E19" s="1195">
        <f t="shared" si="4"/>
        <v>0</v>
      </c>
      <c r="F19" s="1195">
        <f t="shared" si="5"/>
        <v>0</v>
      </c>
      <c r="G19" s="1201"/>
      <c r="H19" s="1201"/>
      <c r="I19" s="1201"/>
      <c r="J19" s="1201"/>
      <c r="K19" s="1201"/>
      <c r="L19" s="1201"/>
      <c r="M19" s="1201" t="s">
        <v>798</v>
      </c>
      <c r="N19" s="1201"/>
    </row>
    <row r="20" spans="1:14" s="569" customFormat="1" ht="18" customHeight="1">
      <c r="A20" s="998" t="s">
        <v>75</v>
      </c>
      <c r="B20" s="999" t="s">
        <v>715</v>
      </c>
      <c r="C20" s="1199">
        <f t="shared" si="2"/>
        <v>0</v>
      </c>
      <c r="D20" s="1199">
        <f t="shared" si="3"/>
        <v>0</v>
      </c>
      <c r="E20" s="1199">
        <f t="shared" si="4"/>
        <v>0</v>
      </c>
      <c r="F20" s="1199">
        <f t="shared" si="5"/>
        <v>0</v>
      </c>
      <c r="G20" s="1202"/>
      <c r="H20" s="1202"/>
      <c r="I20" s="1202"/>
      <c r="J20" s="1202"/>
      <c r="K20" s="1202"/>
      <c r="L20" s="1202"/>
      <c r="M20" s="1202"/>
      <c r="N20" s="1202"/>
    </row>
    <row r="21" spans="1:14" s="571" customFormat="1" ht="23.25" customHeight="1">
      <c r="A21" s="1001"/>
      <c r="B21" s="1740"/>
      <c r="C21" s="1740"/>
      <c r="D21" s="1740"/>
      <c r="E21" s="1740"/>
      <c r="F21" s="1002"/>
      <c r="G21" s="1003"/>
      <c r="H21" s="1003"/>
      <c r="I21" s="1003"/>
      <c r="J21" s="1740" t="str">
        <f>'Thong tin'!B8</f>
        <v>Tuyên Quang, ngày 05 tháng 04 năm 2018</v>
      </c>
      <c r="K21" s="1740"/>
      <c r="L21" s="1740"/>
      <c r="M21" s="1740"/>
      <c r="N21" s="1740"/>
    </row>
    <row r="22" spans="1:14" s="573" customFormat="1" ht="24.75" customHeight="1">
      <c r="A22" s="572"/>
      <c r="B22" s="1730" t="s">
        <v>42</v>
      </c>
      <c r="C22" s="1730"/>
      <c r="D22" s="1730"/>
      <c r="E22" s="1730"/>
      <c r="F22" s="741"/>
      <c r="G22" s="742"/>
      <c r="H22" s="742"/>
      <c r="I22" s="742"/>
      <c r="J22" s="1730" t="str">
        <f>'Thong tin'!B7</f>
        <v>CỤC TRƯỞNG</v>
      </c>
      <c r="K22" s="1730"/>
      <c r="L22" s="1730"/>
      <c r="M22" s="1730"/>
      <c r="N22" s="1730"/>
    </row>
    <row r="23" spans="1:14" s="573" customFormat="1" ht="24.75" customHeight="1">
      <c r="A23" s="572"/>
      <c r="B23" s="1734"/>
      <c r="C23" s="1734"/>
      <c r="D23" s="1734"/>
      <c r="E23" s="741"/>
      <c r="F23" s="741"/>
      <c r="G23" s="742"/>
      <c r="H23" s="742"/>
      <c r="I23" s="742"/>
      <c r="J23" s="1731"/>
      <c r="K23" s="1731"/>
      <c r="L23" s="1731"/>
      <c r="M23" s="1731"/>
      <c r="N23" s="1731"/>
    </row>
    <row r="24" spans="1:14" s="573" customFormat="1" ht="24.75" customHeight="1">
      <c r="A24" s="572"/>
      <c r="B24" s="1730"/>
      <c r="C24" s="1730"/>
      <c r="D24" s="1730"/>
      <c r="E24" s="1730"/>
      <c r="F24" s="741"/>
      <c r="G24" s="742"/>
      <c r="H24" s="742"/>
      <c r="I24" s="742"/>
      <c r="J24" s="741"/>
      <c r="K24" s="1730"/>
      <c r="L24" s="1730"/>
      <c r="M24" s="1730"/>
      <c r="N24" s="741"/>
    </row>
    <row r="25" spans="1:14" s="573" customFormat="1" ht="24.75" customHeight="1">
      <c r="A25" s="572"/>
      <c r="B25" s="741"/>
      <c r="C25" s="741"/>
      <c r="D25" s="741"/>
      <c r="E25" s="741"/>
      <c r="F25" s="741"/>
      <c r="G25" s="742"/>
      <c r="H25" s="742"/>
      <c r="I25" s="742"/>
      <c r="J25" s="741"/>
      <c r="K25" s="741"/>
      <c r="L25" s="741"/>
      <c r="M25" s="741"/>
      <c r="N25" s="741"/>
    </row>
    <row r="26" spans="2:14" ht="24.75" customHeight="1">
      <c r="B26" s="743"/>
      <c r="C26" s="743"/>
      <c r="D26" s="743"/>
      <c r="E26" s="743"/>
      <c r="F26" s="743"/>
      <c r="G26" s="743"/>
      <c r="H26" s="743"/>
      <c r="I26" s="743"/>
      <c r="J26" s="743"/>
      <c r="K26" s="743"/>
      <c r="L26" s="743"/>
      <c r="M26" s="743"/>
      <c r="N26" s="743"/>
    </row>
    <row r="27" spans="2:14" ht="24.75" customHeight="1">
      <c r="B27" s="1731" t="str">
        <f>'Thong tin'!B5</f>
        <v>Duy Thị Thúy</v>
      </c>
      <c r="C27" s="1731"/>
      <c r="D27" s="1731"/>
      <c r="E27" s="1731"/>
      <c r="F27" s="743"/>
      <c r="G27" s="743"/>
      <c r="H27" s="743"/>
      <c r="I27" s="743"/>
      <c r="J27" s="1731" t="str">
        <f>'Thong tin'!B6</f>
        <v>Nguyễn Tuyên </v>
      </c>
      <c r="K27" s="1731"/>
      <c r="L27" s="1731"/>
      <c r="M27" s="1731"/>
      <c r="N27" s="1731"/>
    </row>
    <row r="28" spans="2:14" ht="18.75">
      <c r="B28" s="577"/>
      <c r="C28" s="575"/>
      <c r="D28" s="575"/>
      <c r="E28" s="575"/>
      <c r="F28" s="575"/>
      <c r="G28" s="575"/>
      <c r="H28" s="575"/>
      <c r="I28" s="575"/>
      <c r="J28" s="575"/>
      <c r="K28" s="575"/>
      <c r="L28" s="575"/>
      <c r="M28" s="575"/>
      <c r="N28" s="575"/>
    </row>
    <row r="29" spans="7:10" ht="15.75">
      <c r="G29" s="578"/>
      <c r="H29" s="578"/>
      <c r="I29" s="578"/>
      <c r="J29" s="578"/>
    </row>
    <row r="30" spans="7:10" ht="15.75">
      <c r="G30" s="578"/>
      <c r="H30" s="578"/>
      <c r="I30" s="578"/>
      <c r="J30" s="578"/>
    </row>
    <row r="31" spans="7:10" ht="15.75">
      <c r="G31" s="578"/>
      <c r="H31" s="578"/>
      <c r="I31" s="578"/>
      <c r="J31" s="578"/>
    </row>
    <row r="32" spans="7:10" ht="15.75">
      <c r="G32" s="578"/>
      <c r="H32" s="578"/>
      <c r="I32" s="578"/>
      <c r="J32" s="578"/>
    </row>
    <row r="33" spans="7:10" ht="15.75">
      <c r="G33" s="578"/>
      <c r="H33" s="578"/>
      <c r="I33" s="578"/>
      <c r="J33" s="578"/>
    </row>
    <row r="34" spans="7:10" ht="15.75">
      <c r="G34" s="578"/>
      <c r="H34" s="578"/>
      <c r="I34" s="578"/>
      <c r="J34" s="578"/>
    </row>
    <row r="35" spans="7:10" ht="15.75">
      <c r="G35" s="578"/>
      <c r="H35" s="578"/>
      <c r="I35" s="578"/>
      <c r="J35" s="578"/>
    </row>
    <row r="36" spans="7:10" ht="15.75">
      <c r="G36" s="578"/>
      <c r="H36" s="578"/>
      <c r="I36" s="578"/>
      <c r="J36" s="578"/>
    </row>
  </sheetData>
  <sheetProtection/>
  <mergeCells count="33">
    <mergeCell ref="A1:D1"/>
    <mergeCell ref="E1:K2"/>
    <mergeCell ref="A2:D2"/>
    <mergeCell ref="L2:N2"/>
    <mergeCell ref="L3:N3"/>
    <mergeCell ref="A4:D4"/>
    <mergeCell ref="L4:N4"/>
    <mergeCell ref="A3:D3"/>
    <mergeCell ref="E3:J3"/>
    <mergeCell ref="D5:K5"/>
    <mergeCell ref="A6:B9"/>
    <mergeCell ref="C6:F7"/>
    <mergeCell ref="M8:N8"/>
    <mergeCell ref="G7:J7"/>
    <mergeCell ref="K7:N7"/>
    <mergeCell ref="C8:D8"/>
    <mergeCell ref="E8:F8"/>
    <mergeCell ref="G8:H8"/>
    <mergeCell ref="I8:J8"/>
    <mergeCell ref="G6:N6"/>
    <mergeCell ref="A10:B10"/>
    <mergeCell ref="A11:B11"/>
    <mergeCell ref="B21:E21"/>
    <mergeCell ref="J21:N21"/>
    <mergeCell ref="B22:E22"/>
    <mergeCell ref="J22:N22"/>
    <mergeCell ref="B24:E24"/>
    <mergeCell ref="K24:M24"/>
    <mergeCell ref="B27:E27"/>
    <mergeCell ref="J27:N27"/>
    <mergeCell ref="K8:L8"/>
    <mergeCell ref="B23:D23"/>
    <mergeCell ref="J23:N2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29"/>
  <sheetViews>
    <sheetView zoomScaleSheetLayoutView="100" zoomScalePageLayoutView="0" workbookViewId="0" topLeftCell="A4">
      <selection activeCell="E14" sqref="E14"/>
    </sheetView>
  </sheetViews>
  <sheetFormatPr defaultColWidth="9.00390625" defaultRowHeight="15.75"/>
  <cols>
    <col min="1" max="1" width="3.375" style="562" customWidth="1"/>
    <col min="2" max="2" width="24.125" style="562" customWidth="1"/>
    <col min="3" max="3" width="10.25390625" style="562" customWidth="1"/>
    <col min="4" max="6" width="7.875" style="562" customWidth="1"/>
    <col min="7" max="7" width="9.25390625" style="562" customWidth="1"/>
    <col min="8" max="8" width="7.25390625" style="562" customWidth="1"/>
    <col min="9" max="10" width="7.875" style="562" customWidth="1"/>
    <col min="11" max="11" width="7.125" style="562" customWidth="1"/>
    <col min="12" max="12" width="7.00390625" style="562" customWidth="1"/>
    <col min="13" max="13" width="7.875" style="562" customWidth="1"/>
    <col min="14" max="14" width="10.25390625" style="562" customWidth="1"/>
    <col min="15" max="16" width="7.875" style="562" customWidth="1"/>
    <col min="17" max="16384" width="9.00390625" style="562" customWidth="1"/>
  </cols>
  <sheetData>
    <row r="1" spans="1:16" ht="19.5" customHeight="1">
      <c r="A1" s="1747" t="s">
        <v>27</v>
      </c>
      <c r="B1" s="1747"/>
      <c r="C1" s="579"/>
      <c r="D1" s="1781" t="s">
        <v>644</v>
      </c>
      <c r="E1" s="1781"/>
      <c r="F1" s="1781"/>
      <c r="G1" s="1781"/>
      <c r="H1" s="1781"/>
      <c r="I1" s="1781"/>
      <c r="J1" s="1781"/>
      <c r="K1" s="1781"/>
      <c r="L1" s="1781"/>
      <c r="M1" s="1785" t="s">
        <v>398</v>
      </c>
      <c r="N1" s="1786"/>
      <c r="O1" s="1786"/>
      <c r="P1" s="1786"/>
    </row>
    <row r="2" spans="1:16" ht="21" customHeight="1">
      <c r="A2" s="1769" t="s">
        <v>718</v>
      </c>
      <c r="B2" s="1770"/>
      <c r="C2" s="1770"/>
      <c r="D2" s="1781"/>
      <c r="E2" s="1781"/>
      <c r="F2" s="1781"/>
      <c r="G2" s="1781"/>
      <c r="H2" s="1781"/>
      <c r="I2" s="1781"/>
      <c r="J2" s="1781"/>
      <c r="K2" s="1781"/>
      <c r="L2" s="1781"/>
      <c r="M2" s="1771" t="str">
        <f>'Thong tin'!B4</f>
        <v>Cục THADS tỉnh Tuyên Quang</v>
      </c>
      <c r="N2" s="1772"/>
      <c r="O2" s="1772"/>
      <c r="P2" s="1772"/>
    </row>
    <row r="3" spans="1:13" ht="19.5" customHeight="1">
      <c r="A3" s="746" t="s">
        <v>343</v>
      </c>
      <c r="D3" s="1781"/>
      <c r="E3" s="1781"/>
      <c r="F3" s="1781"/>
      <c r="G3" s="1781"/>
      <c r="H3" s="1781"/>
      <c r="I3" s="1781"/>
      <c r="J3" s="1781"/>
      <c r="K3" s="1781"/>
      <c r="L3" s="1781"/>
      <c r="M3" s="746" t="s">
        <v>645</v>
      </c>
    </row>
    <row r="4" spans="1:16" ht="19.5" customHeight="1">
      <c r="A4" s="1783" t="s">
        <v>400</v>
      </c>
      <c r="B4" s="1783"/>
      <c r="C4" s="1783"/>
      <c r="D4" s="1768" t="str">
        <f>'Thong tin'!B3</f>
        <v>06 tháng / năm 2018</v>
      </c>
      <c r="E4" s="1768"/>
      <c r="F4" s="1768"/>
      <c r="G4" s="1768"/>
      <c r="H4" s="1768"/>
      <c r="I4" s="1768"/>
      <c r="J4" s="1768"/>
      <c r="K4" s="1768"/>
      <c r="L4" s="1768"/>
      <c r="M4" s="1767" t="s">
        <v>401</v>
      </c>
      <c r="N4" s="1767"/>
      <c r="O4" s="1767"/>
      <c r="P4" s="1767"/>
    </row>
    <row r="5" spans="1:16" s="582" customFormat="1" ht="18.75" customHeight="1">
      <c r="A5" s="581"/>
      <c r="B5" s="581"/>
      <c r="D5" s="1768"/>
      <c r="E5" s="1768"/>
      <c r="F5" s="1768"/>
      <c r="G5" s="1768"/>
      <c r="H5" s="1768"/>
      <c r="I5" s="1768"/>
      <c r="J5" s="1768"/>
      <c r="K5" s="1768"/>
      <c r="L5" s="1768"/>
      <c r="M5" s="583" t="s">
        <v>402</v>
      </c>
      <c r="N5" s="584"/>
      <c r="O5" s="584"/>
      <c r="P5" s="584"/>
    </row>
    <row r="6" spans="1:16" ht="40.5" customHeight="1">
      <c r="A6" s="1760" t="s">
        <v>71</v>
      </c>
      <c r="B6" s="1761"/>
      <c r="C6" s="1782" t="s">
        <v>99</v>
      </c>
      <c r="D6" s="1765"/>
      <c r="E6" s="1765"/>
      <c r="F6" s="1765"/>
      <c r="G6" s="1765"/>
      <c r="H6" s="1765"/>
      <c r="I6" s="1765"/>
      <c r="J6" s="1765"/>
      <c r="K6" s="1759" t="s">
        <v>98</v>
      </c>
      <c r="L6" s="1759"/>
      <c r="M6" s="1759"/>
      <c r="N6" s="1759"/>
      <c r="O6" s="1759"/>
      <c r="P6" s="1759"/>
    </row>
    <row r="7" spans="1:16" ht="20.25" customHeight="1">
      <c r="A7" s="1762"/>
      <c r="B7" s="1763"/>
      <c r="C7" s="1782" t="s">
        <v>3</v>
      </c>
      <c r="D7" s="1765"/>
      <c r="E7" s="1765"/>
      <c r="F7" s="1766"/>
      <c r="G7" s="1759" t="s">
        <v>10</v>
      </c>
      <c r="H7" s="1759"/>
      <c r="I7" s="1759"/>
      <c r="J7" s="1759"/>
      <c r="K7" s="1784" t="s">
        <v>3</v>
      </c>
      <c r="L7" s="1784"/>
      <c r="M7" s="1784"/>
      <c r="N7" s="1787" t="s">
        <v>10</v>
      </c>
      <c r="O7" s="1787"/>
      <c r="P7" s="1787"/>
    </row>
    <row r="8" spans="1:16" ht="30.75" customHeight="1">
      <c r="A8" s="1762"/>
      <c r="B8" s="1763"/>
      <c r="C8" s="1764" t="s">
        <v>403</v>
      </c>
      <c r="D8" s="1765" t="s">
        <v>95</v>
      </c>
      <c r="E8" s="1765"/>
      <c r="F8" s="1766"/>
      <c r="G8" s="1759" t="s">
        <v>404</v>
      </c>
      <c r="H8" s="1759" t="s">
        <v>95</v>
      </c>
      <c r="I8" s="1759"/>
      <c r="J8" s="1759"/>
      <c r="K8" s="1759" t="s">
        <v>38</v>
      </c>
      <c r="L8" s="1759" t="s">
        <v>96</v>
      </c>
      <c r="M8" s="1759"/>
      <c r="N8" s="1759" t="s">
        <v>79</v>
      </c>
      <c r="O8" s="1759" t="s">
        <v>96</v>
      </c>
      <c r="P8" s="1759"/>
    </row>
    <row r="9" spans="1:16" ht="58.5" customHeight="1">
      <c r="A9" s="1762"/>
      <c r="B9" s="1763"/>
      <c r="C9" s="1764"/>
      <c r="D9" s="748" t="s">
        <v>43</v>
      </c>
      <c r="E9" s="748" t="s">
        <v>44</v>
      </c>
      <c r="F9" s="748" t="s">
        <v>47</v>
      </c>
      <c r="G9" s="1759"/>
      <c r="H9" s="748" t="s">
        <v>43</v>
      </c>
      <c r="I9" s="748" t="s">
        <v>44</v>
      </c>
      <c r="J9" s="748" t="s">
        <v>47</v>
      </c>
      <c r="K9" s="1759"/>
      <c r="L9" s="748" t="s">
        <v>15</v>
      </c>
      <c r="M9" s="748" t="s">
        <v>14</v>
      </c>
      <c r="N9" s="1759"/>
      <c r="O9" s="748" t="s">
        <v>15</v>
      </c>
      <c r="P9" s="748" t="s">
        <v>14</v>
      </c>
    </row>
    <row r="10" spans="1:16" ht="15" customHeight="1">
      <c r="A10" s="1774" t="s">
        <v>6</v>
      </c>
      <c r="B10" s="1775"/>
      <c r="C10" s="585">
        <v>1</v>
      </c>
      <c r="D10" s="585" t="s">
        <v>52</v>
      </c>
      <c r="E10" s="585" t="s">
        <v>57</v>
      </c>
      <c r="F10" s="585" t="s">
        <v>72</v>
      </c>
      <c r="G10" s="585" t="s">
        <v>73</v>
      </c>
      <c r="H10" s="585" t="s">
        <v>74</v>
      </c>
      <c r="I10" s="585" t="s">
        <v>75</v>
      </c>
      <c r="J10" s="585" t="s">
        <v>76</v>
      </c>
      <c r="K10" s="585" t="s">
        <v>77</v>
      </c>
      <c r="L10" s="585" t="s">
        <v>100</v>
      </c>
      <c r="M10" s="585" t="s">
        <v>101</v>
      </c>
      <c r="N10" s="585" t="s">
        <v>102</v>
      </c>
      <c r="O10" s="585" t="s">
        <v>103</v>
      </c>
      <c r="P10" s="585" t="s">
        <v>104</v>
      </c>
    </row>
    <row r="11" spans="1:16" ht="15" customHeight="1">
      <c r="A11" s="1776" t="s">
        <v>40</v>
      </c>
      <c r="B11" s="1777"/>
      <c r="C11" s="1008">
        <f>SUM(C12:C13)</f>
        <v>0</v>
      </c>
      <c r="D11" s="1008">
        <f>SUM(D12:D13)</f>
        <v>0</v>
      </c>
      <c r="E11" s="1008">
        <f>SUM(E12:E13)</f>
        <v>0</v>
      </c>
      <c r="F11" s="1008">
        <f>SUM(F12:F13)</f>
        <v>0</v>
      </c>
      <c r="G11" s="1008">
        <f>G12+G13</f>
        <v>0</v>
      </c>
      <c r="H11" s="1008">
        <f>H12+H13</f>
        <v>0</v>
      </c>
      <c r="I11" s="1008">
        <f>I12+I13</f>
        <v>0</v>
      </c>
      <c r="J11" s="1008">
        <f>J12+J13</f>
        <v>0</v>
      </c>
      <c r="K11" s="1008">
        <f aca="true" t="shared" si="0" ref="K11:P11">SUM(K12:K13)</f>
        <v>1</v>
      </c>
      <c r="L11" s="1008">
        <f t="shared" si="0"/>
        <v>0</v>
      </c>
      <c r="M11" s="1008">
        <f t="shared" si="0"/>
        <v>1</v>
      </c>
      <c r="N11" s="1008">
        <f t="shared" si="0"/>
        <v>120000</v>
      </c>
      <c r="O11" s="1008">
        <f t="shared" si="0"/>
        <v>0</v>
      </c>
      <c r="P11" s="1008">
        <f t="shared" si="0"/>
        <v>120000</v>
      </c>
    </row>
    <row r="12" spans="1:16" ht="15" customHeight="1">
      <c r="A12" s="1009" t="s">
        <v>0</v>
      </c>
      <c r="B12" s="1010" t="s">
        <v>97</v>
      </c>
      <c r="C12" s="1011">
        <f>SUM(D12:F12)</f>
        <v>0</v>
      </c>
      <c r="D12" s="1012"/>
      <c r="E12" s="1012"/>
      <c r="F12" s="1012"/>
      <c r="G12" s="1012">
        <f>SUM(H12:J12)</f>
        <v>0</v>
      </c>
      <c r="H12" s="1012"/>
      <c r="I12" s="1012"/>
      <c r="J12" s="1012"/>
      <c r="K12" s="1012">
        <f>SUM(L12:M12)</f>
        <v>0</v>
      </c>
      <c r="L12" s="1012"/>
      <c r="M12" s="1012"/>
      <c r="N12" s="1012"/>
      <c r="O12" s="1011"/>
      <c r="P12" s="1011"/>
    </row>
    <row r="13" spans="1:16" ht="15" customHeight="1">
      <c r="A13" s="1013" t="s">
        <v>1</v>
      </c>
      <c r="B13" s="1014" t="s">
        <v>18</v>
      </c>
      <c r="C13" s="1015">
        <f aca="true" t="shared" si="1" ref="C13:P13">SUM(C14:C20)</f>
        <v>0</v>
      </c>
      <c r="D13" s="1015">
        <f t="shared" si="1"/>
        <v>0</v>
      </c>
      <c r="E13" s="1015">
        <f t="shared" si="1"/>
        <v>0</v>
      </c>
      <c r="F13" s="1015">
        <f t="shared" si="1"/>
        <v>0</v>
      </c>
      <c r="G13" s="1015">
        <f t="shared" si="1"/>
        <v>0</v>
      </c>
      <c r="H13" s="1015">
        <f t="shared" si="1"/>
        <v>0</v>
      </c>
      <c r="I13" s="1015">
        <f t="shared" si="1"/>
        <v>0</v>
      </c>
      <c r="J13" s="1015">
        <f t="shared" si="1"/>
        <v>0</v>
      </c>
      <c r="K13" s="1015">
        <f t="shared" si="1"/>
        <v>1</v>
      </c>
      <c r="L13" s="1015">
        <f t="shared" si="1"/>
        <v>0</v>
      </c>
      <c r="M13" s="1015">
        <f t="shared" si="1"/>
        <v>1</v>
      </c>
      <c r="N13" s="1015">
        <f t="shared" si="1"/>
        <v>120000</v>
      </c>
      <c r="O13" s="1015">
        <f t="shared" si="1"/>
        <v>0</v>
      </c>
      <c r="P13" s="1015">
        <f t="shared" si="1"/>
        <v>120000</v>
      </c>
    </row>
    <row r="14" spans="1:16" ht="17.25" customHeight="1">
      <c r="A14" s="586" t="s">
        <v>51</v>
      </c>
      <c r="B14" s="816" t="s">
        <v>709</v>
      </c>
      <c r="C14" s="840">
        <f aca="true" t="shared" si="2" ref="C14:C20">SUM(D14:F14)</f>
        <v>0</v>
      </c>
      <c r="D14" s="1007"/>
      <c r="E14" s="839"/>
      <c r="F14" s="839"/>
      <c r="G14" s="1007">
        <f>H14+I14+J14</f>
        <v>0</v>
      </c>
      <c r="H14" s="841"/>
      <c r="I14" s="839"/>
      <c r="J14" s="839"/>
      <c r="K14" s="841">
        <f aca="true" t="shared" si="3" ref="K14:K19">SUM(L14:M14)</f>
        <v>0</v>
      </c>
      <c r="L14" s="839"/>
      <c r="M14" s="839"/>
      <c r="N14" s="841"/>
      <c r="O14" s="840"/>
      <c r="P14" s="840"/>
    </row>
    <row r="15" spans="1:16" ht="17.25" customHeight="1">
      <c r="A15" s="586" t="s">
        <v>52</v>
      </c>
      <c r="B15" s="816" t="s">
        <v>710</v>
      </c>
      <c r="C15" s="840">
        <f t="shared" si="2"/>
        <v>0</v>
      </c>
      <c r="D15" s="1007"/>
      <c r="E15" s="841"/>
      <c r="F15" s="841"/>
      <c r="G15" s="1007">
        <f aca="true" t="shared" si="4" ref="G15:G20">H15+I15+J15</f>
        <v>0</v>
      </c>
      <c r="H15" s="841"/>
      <c r="I15" s="841"/>
      <c r="J15" s="841"/>
      <c r="K15" s="841">
        <f t="shared" si="3"/>
        <v>1</v>
      </c>
      <c r="L15" s="857"/>
      <c r="M15" s="841">
        <v>1</v>
      </c>
      <c r="N15" s="841">
        <f>O15+P15</f>
        <v>120000</v>
      </c>
      <c r="O15" s="840"/>
      <c r="P15" s="841">
        <v>120000</v>
      </c>
    </row>
    <row r="16" spans="1:16" ht="17.25" customHeight="1">
      <c r="A16" s="586" t="s">
        <v>57</v>
      </c>
      <c r="B16" s="816" t="s">
        <v>711</v>
      </c>
      <c r="C16" s="840">
        <f t="shared" si="2"/>
        <v>0</v>
      </c>
      <c r="D16" s="1007"/>
      <c r="E16" s="841"/>
      <c r="F16" s="841"/>
      <c r="G16" s="1007">
        <f t="shared" si="4"/>
        <v>0</v>
      </c>
      <c r="H16" s="841"/>
      <c r="I16" s="841"/>
      <c r="J16" s="841"/>
      <c r="K16" s="841">
        <f t="shared" si="3"/>
        <v>0</v>
      </c>
      <c r="L16" s="857"/>
      <c r="M16" s="857"/>
      <c r="N16" s="857"/>
      <c r="O16" s="856"/>
      <c r="P16" s="856"/>
    </row>
    <row r="17" spans="1:16" ht="17.25" customHeight="1">
      <c r="A17" s="586" t="s">
        <v>72</v>
      </c>
      <c r="B17" s="816" t="s">
        <v>712</v>
      </c>
      <c r="C17" s="840">
        <f t="shared" si="2"/>
        <v>0</v>
      </c>
      <c r="D17" s="1007"/>
      <c r="E17" s="841"/>
      <c r="F17" s="841"/>
      <c r="G17" s="1007">
        <f t="shared" si="4"/>
        <v>0</v>
      </c>
      <c r="H17" s="841"/>
      <c r="I17" s="841"/>
      <c r="J17" s="841"/>
      <c r="K17" s="841">
        <f t="shared" si="3"/>
        <v>0</v>
      </c>
      <c r="L17" s="857"/>
      <c r="M17" s="857"/>
      <c r="N17" s="857"/>
      <c r="O17" s="856"/>
      <c r="P17" s="856"/>
    </row>
    <row r="18" spans="1:16" ht="17.25" customHeight="1">
      <c r="A18" s="586" t="s">
        <v>73</v>
      </c>
      <c r="B18" s="816" t="s">
        <v>713</v>
      </c>
      <c r="C18" s="840">
        <f t="shared" si="2"/>
        <v>0</v>
      </c>
      <c r="D18" s="841"/>
      <c r="E18" s="841"/>
      <c r="F18" s="841"/>
      <c r="G18" s="1007">
        <f t="shared" si="4"/>
        <v>0</v>
      </c>
      <c r="H18" s="841"/>
      <c r="I18" s="841"/>
      <c r="J18" s="841"/>
      <c r="K18" s="841">
        <f t="shared" si="3"/>
        <v>0</v>
      </c>
      <c r="L18" s="857"/>
      <c r="M18" s="857"/>
      <c r="N18" s="857"/>
      <c r="O18" s="856"/>
      <c r="P18" s="856"/>
    </row>
    <row r="19" spans="1:16" ht="17.25" customHeight="1">
      <c r="A19" s="586" t="s">
        <v>74</v>
      </c>
      <c r="B19" s="816" t="s">
        <v>714</v>
      </c>
      <c r="C19" s="840">
        <f t="shared" si="2"/>
        <v>0</v>
      </c>
      <c r="D19" s="841"/>
      <c r="E19" s="841"/>
      <c r="F19" s="841"/>
      <c r="G19" s="1007">
        <f t="shared" si="4"/>
        <v>0</v>
      </c>
      <c r="H19" s="841"/>
      <c r="I19" s="841"/>
      <c r="J19" s="841"/>
      <c r="K19" s="841">
        <f t="shared" si="3"/>
        <v>0</v>
      </c>
      <c r="L19" s="857"/>
      <c r="M19" s="857"/>
      <c r="N19" s="857"/>
      <c r="O19" s="856"/>
      <c r="P19" s="856"/>
    </row>
    <row r="20" spans="1:16" ht="17.25" customHeight="1">
      <c r="A20" s="586" t="s">
        <v>75</v>
      </c>
      <c r="B20" s="816" t="s">
        <v>715</v>
      </c>
      <c r="C20" s="840">
        <f t="shared" si="2"/>
        <v>0</v>
      </c>
      <c r="D20" s="840"/>
      <c r="E20" s="840"/>
      <c r="F20" s="840"/>
      <c r="G20" s="1007">
        <f t="shared" si="4"/>
        <v>0</v>
      </c>
      <c r="H20" s="840"/>
      <c r="I20" s="840"/>
      <c r="J20" s="840"/>
      <c r="K20" s="841">
        <f>SUM(L20:M20)</f>
        <v>0</v>
      </c>
      <c r="L20" s="856"/>
      <c r="M20" s="856"/>
      <c r="N20" s="857"/>
      <c r="O20" s="856"/>
      <c r="P20" s="856"/>
    </row>
    <row r="21" spans="1:16" ht="25.5" customHeight="1">
      <c r="A21" s="587"/>
      <c r="B21" s="588"/>
      <c r="C21" s="589"/>
      <c r="D21" s="589"/>
      <c r="E21" s="589"/>
      <c r="F21" s="589"/>
      <c r="G21" s="589"/>
      <c r="H21" s="589"/>
      <c r="I21" s="589"/>
      <c r="J21" s="589"/>
      <c r="K21" s="1780" t="str">
        <f>'Thong tin'!B8</f>
        <v>Tuyên Quang, ngày 05 tháng 04 năm 2018</v>
      </c>
      <c r="L21" s="1780"/>
      <c r="M21" s="1780"/>
      <c r="N21" s="1780"/>
      <c r="O21" s="1780"/>
      <c r="P21" s="1780"/>
    </row>
    <row r="22" spans="2:16" ht="21.75" customHeight="1">
      <c r="B22" s="1756" t="s">
        <v>4</v>
      </c>
      <c r="C22" s="1756"/>
      <c r="D22" s="1756"/>
      <c r="E22" s="744"/>
      <c r="F22" s="590"/>
      <c r="G22" s="590"/>
      <c r="H22" s="590"/>
      <c r="I22" s="590"/>
      <c r="J22" s="590"/>
      <c r="L22" s="1778" t="str">
        <f>'Thong tin'!B7</f>
        <v>CỤC TRƯỞNG</v>
      </c>
      <c r="M22" s="1779"/>
      <c r="N22" s="1779"/>
      <c r="O22" s="1779"/>
      <c r="P22" s="590"/>
    </row>
    <row r="23" spans="2:16" ht="21" customHeight="1">
      <c r="B23" s="744"/>
      <c r="C23" s="744"/>
      <c r="D23" s="744"/>
      <c r="E23" s="744"/>
      <c r="F23" s="590"/>
      <c r="G23" s="590"/>
      <c r="H23" s="590"/>
      <c r="I23" s="590"/>
      <c r="J23" s="590"/>
      <c r="K23" s="590"/>
      <c r="L23" s="590"/>
      <c r="M23" s="590"/>
      <c r="N23" s="590"/>
      <c r="O23" s="590"/>
      <c r="P23" s="590"/>
    </row>
    <row r="24" ht="11.25" customHeight="1"/>
    <row r="25" spans="2:16" ht="16.5" customHeight="1">
      <c r="B25" s="1758"/>
      <c r="C25" s="1758"/>
      <c r="D25" s="1758"/>
      <c r="K25" s="1773"/>
      <c r="L25" s="1773"/>
      <c r="M25" s="1773"/>
      <c r="N25" s="1773"/>
      <c r="O25" s="1773"/>
      <c r="P25" s="1773"/>
    </row>
    <row r="26" ht="12.75" customHeight="1"/>
    <row r="27" spans="2:15" ht="15.75">
      <c r="B27" s="1757" t="str">
        <f>'Thong tin'!B5</f>
        <v>Duy Thị Thúy</v>
      </c>
      <c r="C27" s="1757"/>
      <c r="D27" s="1757"/>
      <c r="E27" s="745"/>
      <c r="L27" s="1755" t="str">
        <f>'Thong tin'!B6</f>
        <v>Nguyễn Tuyên </v>
      </c>
      <c r="M27" s="1755"/>
      <c r="N27" s="1755"/>
      <c r="O27" s="1755"/>
    </row>
    <row r="29" spans="12:16" ht="15.75">
      <c r="L29" s="597"/>
      <c r="M29" s="597"/>
      <c r="N29" s="597"/>
      <c r="O29" s="597"/>
      <c r="P29" s="597"/>
    </row>
  </sheetData>
  <sheetProtection/>
  <mergeCells count="33">
    <mergeCell ref="A1:B1"/>
    <mergeCell ref="D1:L3"/>
    <mergeCell ref="C7:F7"/>
    <mergeCell ref="A4:C4"/>
    <mergeCell ref="K7:M7"/>
    <mergeCell ref="K8:K9"/>
    <mergeCell ref="L8:M8"/>
    <mergeCell ref="M1:P1"/>
    <mergeCell ref="C6:J6"/>
    <mergeCell ref="N7:P7"/>
    <mergeCell ref="N8:N9"/>
    <mergeCell ref="K25:P25"/>
    <mergeCell ref="A10:B10"/>
    <mergeCell ref="A11:B11"/>
    <mergeCell ref="L22:O22"/>
    <mergeCell ref="K21:P21"/>
    <mergeCell ref="M4:P4"/>
    <mergeCell ref="D4:L4"/>
    <mergeCell ref="D5:L5"/>
    <mergeCell ref="G7:J7"/>
    <mergeCell ref="A2:C2"/>
    <mergeCell ref="M2:P2"/>
    <mergeCell ref="K6:P6"/>
    <mergeCell ref="L27:O27"/>
    <mergeCell ref="B22:D22"/>
    <mergeCell ref="B27:D27"/>
    <mergeCell ref="B25:D25"/>
    <mergeCell ref="G8:G9"/>
    <mergeCell ref="H8:J8"/>
    <mergeCell ref="O8:P8"/>
    <mergeCell ref="A6:B9"/>
    <mergeCell ref="C8:C9"/>
    <mergeCell ref="D8:F8"/>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N35"/>
  <sheetViews>
    <sheetView zoomScaleSheetLayoutView="100" zoomScalePageLayoutView="0" workbookViewId="0" topLeftCell="A7">
      <selection activeCell="M12" sqref="M12"/>
    </sheetView>
  </sheetViews>
  <sheetFormatPr defaultColWidth="9.00390625" defaultRowHeight="15.75"/>
  <cols>
    <col min="1" max="1" width="4.625" style="562" customWidth="1"/>
    <col min="2" max="2" width="24.75390625" style="562" customWidth="1"/>
    <col min="3" max="3" width="10.25390625" style="562" customWidth="1"/>
    <col min="4" max="4" width="11.375" style="562" customWidth="1"/>
    <col min="5" max="5" width="12.25390625" style="562" customWidth="1"/>
    <col min="6" max="6" width="10.25390625" style="562" customWidth="1"/>
    <col min="7" max="7" width="11.75390625" style="562" customWidth="1"/>
    <col min="8" max="8" width="11.125" style="562" customWidth="1"/>
    <col min="9" max="9" width="10.25390625" style="562" customWidth="1"/>
    <col min="10" max="10" width="10.75390625" style="562" customWidth="1"/>
    <col min="11" max="11" width="9.25390625" style="562" customWidth="1"/>
    <col min="12" max="13" width="10.25390625" style="562" customWidth="1"/>
    <col min="14" max="16384" width="9.00390625" style="562" customWidth="1"/>
  </cols>
  <sheetData>
    <row r="1" spans="1:13" ht="22.5" customHeight="1">
      <c r="A1" s="1747" t="s">
        <v>116</v>
      </c>
      <c r="B1" s="1747"/>
      <c r="C1" s="1747"/>
      <c r="D1" s="1822" t="s">
        <v>652</v>
      </c>
      <c r="E1" s="1822"/>
      <c r="F1" s="1822"/>
      <c r="G1" s="1822"/>
      <c r="H1" s="1822"/>
      <c r="I1" s="1822"/>
      <c r="J1" s="1799" t="s">
        <v>646</v>
      </c>
      <c r="K1" s="1800"/>
      <c r="L1" s="1800"/>
      <c r="M1" s="836"/>
    </row>
    <row r="2" spans="1:13" ht="29.25" customHeight="1">
      <c r="A2" s="1801" t="s">
        <v>719</v>
      </c>
      <c r="B2" s="1801"/>
      <c r="C2" s="1801"/>
      <c r="D2" s="1822"/>
      <c r="E2" s="1822"/>
      <c r="F2" s="1822"/>
      <c r="G2" s="1822"/>
      <c r="H2" s="1822"/>
      <c r="I2" s="1822"/>
      <c r="J2" s="1802" t="str">
        <f>'Thong tin'!B4</f>
        <v>Cục THADS tỉnh Tuyên Quang</v>
      </c>
      <c r="K2" s="1802"/>
      <c r="L2" s="1802"/>
      <c r="M2" s="837"/>
    </row>
    <row r="3" spans="1:13" ht="15.75" customHeight="1">
      <c r="A3" s="1749" t="s">
        <v>343</v>
      </c>
      <c r="B3" s="1749"/>
      <c r="C3" s="1749"/>
      <c r="D3" s="1823" t="str">
        <f>'Thong tin'!B3</f>
        <v>06 tháng / năm 2018</v>
      </c>
      <c r="E3" s="1823"/>
      <c r="F3" s="1823"/>
      <c r="G3" s="1823"/>
      <c r="H3" s="1823"/>
      <c r="I3" s="1823"/>
      <c r="J3" s="1821" t="s">
        <v>464</v>
      </c>
      <c r="K3" s="1821"/>
      <c r="L3" s="1821"/>
      <c r="M3" s="838"/>
    </row>
    <row r="4" spans="1:13" ht="15.75" customHeight="1">
      <c r="A4" s="1783" t="s">
        <v>362</v>
      </c>
      <c r="B4" s="1783"/>
      <c r="C4" s="1783"/>
      <c r="D4" s="1758"/>
      <c r="E4" s="1758"/>
      <c r="F4" s="1758"/>
      <c r="G4" s="1758"/>
      <c r="H4" s="1758"/>
      <c r="I4" s="1758"/>
      <c r="J4" s="1800" t="s">
        <v>410</v>
      </c>
      <c r="K4" s="1800"/>
      <c r="L4" s="1800"/>
      <c r="M4" s="836"/>
    </row>
    <row r="5" spans="1:13" ht="15.75">
      <c r="A5" s="580"/>
      <c r="B5" s="580"/>
      <c r="C5" s="563"/>
      <c r="D5" s="563"/>
      <c r="E5" s="563"/>
      <c r="F5" s="563"/>
      <c r="G5" s="563"/>
      <c r="H5" s="563"/>
      <c r="I5" s="563"/>
      <c r="J5" s="1824" t="s">
        <v>8</v>
      </c>
      <c r="K5" s="1824"/>
      <c r="L5" s="1824"/>
      <c r="M5" s="832"/>
    </row>
    <row r="6" spans="1:13" ht="15.75" customHeight="1">
      <c r="A6" s="1804" t="s">
        <v>71</v>
      </c>
      <c r="B6" s="1805"/>
      <c r="C6" s="1803" t="s">
        <v>653</v>
      </c>
      <c r="D6" s="1818" t="s">
        <v>412</v>
      </c>
      <c r="E6" s="1819"/>
      <c r="F6" s="1819"/>
      <c r="G6" s="1819"/>
      <c r="H6" s="1819"/>
      <c r="I6" s="1820"/>
      <c r="J6" s="1810" t="s">
        <v>114</v>
      </c>
      <c r="K6" s="1811"/>
      <c r="L6" s="1812"/>
      <c r="M6" s="842"/>
    </row>
    <row r="7" spans="1:13" ht="15.75" customHeight="1">
      <c r="A7" s="1806"/>
      <c r="B7" s="1807"/>
      <c r="C7" s="1764"/>
      <c r="D7" s="1815" t="s">
        <v>7</v>
      </c>
      <c r="E7" s="1816"/>
      <c r="F7" s="1816"/>
      <c r="G7" s="1816"/>
      <c r="H7" s="1816"/>
      <c r="I7" s="1817"/>
      <c r="J7" s="1803" t="s">
        <v>16</v>
      </c>
      <c r="K7" s="1803" t="s">
        <v>647</v>
      </c>
      <c r="L7" s="1803" t="s">
        <v>648</v>
      </c>
      <c r="M7" s="1764" t="s">
        <v>809</v>
      </c>
    </row>
    <row r="8" spans="1:13" ht="18.75" customHeight="1">
      <c r="A8" s="1806"/>
      <c r="B8" s="1807"/>
      <c r="C8" s="1764"/>
      <c r="D8" s="1813" t="s">
        <v>112</v>
      </c>
      <c r="E8" s="1810" t="s">
        <v>113</v>
      </c>
      <c r="F8" s="1811"/>
      <c r="G8" s="1811"/>
      <c r="H8" s="1811"/>
      <c r="I8" s="1812"/>
      <c r="J8" s="1764"/>
      <c r="K8" s="1764"/>
      <c r="L8" s="1764"/>
      <c r="M8" s="1764"/>
    </row>
    <row r="9" spans="1:13" ht="60.75" customHeight="1">
      <c r="A9" s="1808"/>
      <c r="B9" s="1809"/>
      <c r="C9" s="1798"/>
      <c r="D9" s="1814"/>
      <c r="E9" s="747" t="s">
        <v>115</v>
      </c>
      <c r="F9" s="748" t="s">
        <v>651</v>
      </c>
      <c r="G9" s="748" t="s">
        <v>650</v>
      </c>
      <c r="H9" s="748" t="s">
        <v>649</v>
      </c>
      <c r="I9" s="748" t="s">
        <v>24</v>
      </c>
      <c r="J9" s="1798"/>
      <c r="K9" s="1798"/>
      <c r="L9" s="1798"/>
      <c r="M9" s="1798"/>
    </row>
    <row r="10" spans="1:13" ht="13.5" customHeight="1">
      <c r="A10" s="1790" t="s">
        <v>5</v>
      </c>
      <c r="B10" s="1791"/>
      <c r="C10" s="591">
        <v>1</v>
      </c>
      <c r="D10" s="591" t="s">
        <v>52</v>
      </c>
      <c r="E10" s="591" t="s">
        <v>57</v>
      </c>
      <c r="F10" s="591" t="s">
        <v>72</v>
      </c>
      <c r="G10" s="591" t="s">
        <v>73</v>
      </c>
      <c r="H10" s="591" t="s">
        <v>74</v>
      </c>
      <c r="I10" s="591" t="s">
        <v>75</v>
      </c>
      <c r="J10" s="591" t="s">
        <v>76</v>
      </c>
      <c r="K10" s="591" t="s">
        <v>77</v>
      </c>
      <c r="L10" s="591" t="s">
        <v>100</v>
      </c>
      <c r="M10" s="591" t="s">
        <v>101</v>
      </c>
    </row>
    <row r="11" spans="1:13" s="569" customFormat="1" ht="16.5" customHeight="1">
      <c r="A11" s="1792" t="s">
        <v>36</v>
      </c>
      <c r="B11" s="1793"/>
      <c r="C11" s="1203">
        <f>C12+C13</f>
        <v>27</v>
      </c>
      <c r="D11" s="1203">
        <f aca="true" t="shared" si="0" ref="D11:L11">D12+D13</f>
        <v>18</v>
      </c>
      <c r="E11" s="1203">
        <f t="shared" si="0"/>
        <v>9</v>
      </c>
      <c r="F11" s="1203">
        <f t="shared" si="0"/>
        <v>0</v>
      </c>
      <c r="G11" s="1203">
        <f t="shared" si="0"/>
        <v>2</v>
      </c>
      <c r="H11" s="1203">
        <f t="shared" si="0"/>
        <v>7</v>
      </c>
      <c r="I11" s="1203">
        <f t="shared" si="0"/>
        <v>0</v>
      </c>
      <c r="J11" s="1203">
        <f t="shared" si="0"/>
        <v>5</v>
      </c>
      <c r="K11" s="1203">
        <f t="shared" si="0"/>
        <v>13</v>
      </c>
      <c r="L11" s="1203">
        <f t="shared" si="0"/>
        <v>0</v>
      </c>
      <c r="M11" s="1203">
        <f>M12+M13</f>
        <v>9</v>
      </c>
    </row>
    <row r="12" spans="1:13" s="569" customFormat="1" ht="24" customHeight="1">
      <c r="A12" s="1018" t="s">
        <v>0</v>
      </c>
      <c r="B12" s="1019" t="s">
        <v>97</v>
      </c>
      <c r="C12" s="1204">
        <f>D12+E12</f>
        <v>0</v>
      </c>
      <c r="D12" s="1204"/>
      <c r="E12" s="1204">
        <f>F12+G12+H12+I12</f>
        <v>0</v>
      </c>
      <c r="F12" s="1204"/>
      <c r="G12" s="1204"/>
      <c r="H12" s="1204"/>
      <c r="I12" s="1204"/>
      <c r="J12" s="1204"/>
      <c r="K12" s="1204"/>
      <c r="L12" s="1204"/>
      <c r="M12" s="1204"/>
    </row>
    <row r="13" spans="1:13" s="569" customFormat="1" ht="24" customHeight="1">
      <c r="A13" s="1020" t="s">
        <v>1</v>
      </c>
      <c r="B13" s="1021" t="s">
        <v>18</v>
      </c>
      <c r="C13" s="1205">
        <f>SUM(C14:C20)</f>
        <v>27</v>
      </c>
      <c r="D13" s="1205">
        <f aca="true" t="shared" si="1" ref="D13:M13">SUM(D14:D20)</f>
        <v>18</v>
      </c>
      <c r="E13" s="1205">
        <f t="shared" si="1"/>
        <v>9</v>
      </c>
      <c r="F13" s="1205">
        <f t="shared" si="1"/>
        <v>0</v>
      </c>
      <c r="G13" s="1205">
        <f t="shared" si="1"/>
        <v>2</v>
      </c>
      <c r="H13" s="1205">
        <f t="shared" si="1"/>
        <v>7</v>
      </c>
      <c r="I13" s="1205">
        <f t="shared" si="1"/>
        <v>0</v>
      </c>
      <c r="J13" s="1205">
        <f t="shared" si="1"/>
        <v>5</v>
      </c>
      <c r="K13" s="1205">
        <f t="shared" si="1"/>
        <v>13</v>
      </c>
      <c r="L13" s="1205">
        <f t="shared" si="1"/>
        <v>0</v>
      </c>
      <c r="M13" s="1205">
        <f t="shared" si="1"/>
        <v>9</v>
      </c>
    </row>
    <row r="14" spans="1:13" s="569" customFormat="1" ht="24" customHeight="1">
      <c r="A14" s="1016" t="s">
        <v>51</v>
      </c>
      <c r="B14" s="1017" t="s">
        <v>709</v>
      </c>
      <c r="C14" s="1132">
        <f>D14+E14</f>
        <v>0</v>
      </c>
      <c r="D14" s="1206"/>
      <c r="E14" s="1133">
        <f aca="true" t="shared" si="2" ref="E14:E20">F14+G14+H14+I14</f>
        <v>0</v>
      </c>
      <c r="F14" s="1206"/>
      <c r="G14" s="1206"/>
      <c r="H14" s="1206"/>
      <c r="I14" s="1206"/>
      <c r="J14" s="1206"/>
      <c r="K14" s="1206"/>
      <c r="L14" s="1206"/>
      <c r="M14" s="1206"/>
    </row>
    <row r="15" spans="1:14" s="569" customFormat="1" ht="24" customHeight="1">
      <c r="A15" s="1016" t="s">
        <v>52</v>
      </c>
      <c r="B15" s="1017" t="s">
        <v>710</v>
      </c>
      <c r="C15" s="1132">
        <f aca="true" t="shared" si="3" ref="C15:C20">D15+E15</f>
        <v>3</v>
      </c>
      <c r="D15" s="1206">
        <v>2</v>
      </c>
      <c r="E15" s="1133">
        <f t="shared" si="2"/>
        <v>1</v>
      </c>
      <c r="F15" s="1206"/>
      <c r="G15" s="1206"/>
      <c r="H15" s="1206">
        <v>1</v>
      </c>
      <c r="I15" s="1206"/>
      <c r="J15" s="1206">
        <v>1</v>
      </c>
      <c r="K15" s="1206"/>
      <c r="L15" s="1206"/>
      <c r="M15" s="1206">
        <v>2</v>
      </c>
      <c r="N15" s="979"/>
    </row>
    <row r="16" spans="1:13" s="569" customFormat="1" ht="24" customHeight="1">
      <c r="A16" s="570" t="s">
        <v>57</v>
      </c>
      <c r="B16" s="816" t="s">
        <v>711</v>
      </c>
      <c r="C16" s="1133">
        <f t="shared" si="3"/>
        <v>18</v>
      </c>
      <c r="D16" s="1207">
        <v>10</v>
      </c>
      <c r="E16" s="1133">
        <f t="shared" si="2"/>
        <v>8</v>
      </c>
      <c r="F16" s="1207"/>
      <c r="G16" s="1207">
        <v>2</v>
      </c>
      <c r="H16" s="1207">
        <v>6</v>
      </c>
      <c r="I16" s="1207"/>
      <c r="J16" s="1207">
        <v>2</v>
      </c>
      <c r="K16" s="1207">
        <v>13</v>
      </c>
      <c r="L16" s="1207"/>
      <c r="M16" s="1207">
        <v>3</v>
      </c>
    </row>
    <row r="17" spans="1:13" s="569" customFormat="1" ht="24" customHeight="1">
      <c r="A17" s="570" t="s">
        <v>72</v>
      </c>
      <c r="B17" s="816" t="s">
        <v>712</v>
      </c>
      <c r="C17" s="1133">
        <f>D17+E17</f>
        <v>4</v>
      </c>
      <c r="D17" s="1207">
        <v>4</v>
      </c>
      <c r="E17" s="1133">
        <f t="shared" si="2"/>
        <v>0</v>
      </c>
      <c r="F17" s="1207"/>
      <c r="G17" s="1207"/>
      <c r="H17" s="1207"/>
      <c r="I17" s="1207"/>
      <c r="J17" s="1207">
        <v>1</v>
      </c>
      <c r="K17" s="1207"/>
      <c r="L17" s="1207"/>
      <c r="M17" s="1207">
        <v>3</v>
      </c>
    </row>
    <row r="18" spans="1:13" s="569" customFormat="1" ht="24" customHeight="1">
      <c r="A18" s="570" t="s">
        <v>73</v>
      </c>
      <c r="B18" s="816" t="s">
        <v>713</v>
      </c>
      <c r="C18" s="1133">
        <f t="shared" si="3"/>
        <v>2</v>
      </c>
      <c r="D18" s="1207">
        <v>2</v>
      </c>
      <c r="E18" s="1133">
        <f t="shared" si="2"/>
        <v>0</v>
      </c>
      <c r="F18" s="1207"/>
      <c r="G18" s="1207"/>
      <c r="H18" s="1207"/>
      <c r="I18" s="1207"/>
      <c r="J18" s="1207">
        <v>1</v>
      </c>
      <c r="K18" s="1206"/>
      <c r="L18" s="1207"/>
      <c r="M18" s="1207">
        <v>1</v>
      </c>
    </row>
    <row r="19" spans="1:13" s="569" customFormat="1" ht="24" customHeight="1">
      <c r="A19" s="570" t="s">
        <v>74</v>
      </c>
      <c r="B19" s="816" t="s">
        <v>714</v>
      </c>
      <c r="C19" s="1133">
        <f t="shared" si="3"/>
        <v>0</v>
      </c>
      <c r="D19" s="1207"/>
      <c r="E19" s="1133">
        <f t="shared" si="2"/>
        <v>0</v>
      </c>
      <c r="F19" s="1207"/>
      <c r="G19" s="1207"/>
      <c r="H19" s="1207"/>
      <c r="I19" s="1207"/>
      <c r="J19" s="1207"/>
      <c r="K19" s="1207"/>
      <c r="L19" s="1207"/>
      <c r="M19" s="1207"/>
    </row>
    <row r="20" spans="1:13" s="569" customFormat="1" ht="24" customHeight="1">
      <c r="A20" s="570" t="s">
        <v>75</v>
      </c>
      <c r="B20" s="816" t="s">
        <v>715</v>
      </c>
      <c r="C20" s="1133">
        <f t="shared" si="3"/>
        <v>0</v>
      </c>
      <c r="D20" s="1207"/>
      <c r="E20" s="1133">
        <f t="shared" si="2"/>
        <v>0</v>
      </c>
      <c r="F20" s="1207"/>
      <c r="G20" s="1207"/>
      <c r="H20" s="1207"/>
      <c r="I20" s="1207"/>
      <c r="J20" s="1207"/>
      <c r="K20" s="1207"/>
      <c r="L20" s="1207"/>
      <c r="M20" s="1207"/>
    </row>
    <row r="21" spans="1:13" ht="13.5" customHeight="1">
      <c r="A21" s="592"/>
      <c r="B21" s="593"/>
      <c r="C21" s="594"/>
      <c r="D21" s="594"/>
      <c r="E21" s="594"/>
      <c r="F21" s="594"/>
      <c r="G21" s="594"/>
      <c r="H21" s="594"/>
      <c r="I21" s="594"/>
      <c r="J21" s="594"/>
      <c r="K21" s="594"/>
      <c r="L21" s="594"/>
      <c r="M21" s="594"/>
    </row>
    <row r="22" spans="2:13" ht="16.5" customHeight="1">
      <c r="B22" s="595"/>
      <c r="C22" s="595"/>
      <c r="D22" s="595"/>
      <c r="E22" s="595"/>
      <c r="F22" s="595"/>
      <c r="G22" s="595"/>
      <c r="H22" s="1794" t="str">
        <f>'Thong tin'!B8</f>
        <v>Tuyên Quang, ngày 05 tháng 04 năm 2018</v>
      </c>
      <c r="I22" s="1794"/>
      <c r="J22" s="1794"/>
      <c r="K22" s="1794"/>
      <c r="L22" s="1794"/>
      <c r="M22" s="833"/>
    </row>
    <row r="23" spans="1:13" ht="18.75">
      <c r="A23" s="595"/>
      <c r="B23" s="1796" t="s">
        <v>4</v>
      </c>
      <c r="C23" s="1796"/>
      <c r="D23" s="1796"/>
      <c r="E23" s="595"/>
      <c r="F23" s="595"/>
      <c r="G23" s="595"/>
      <c r="H23" s="1795" t="str">
        <f>'Thong tin'!B7</f>
        <v>CỤC TRƯỞNG</v>
      </c>
      <c r="I23" s="1795"/>
      <c r="J23" s="1795"/>
      <c r="K23" s="1795"/>
      <c r="L23" s="1795"/>
      <c r="M23" s="834"/>
    </row>
    <row r="24" spans="1:13" ht="16.5" customHeight="1">
      <c r="A24" s="596"/>
      <c r="B24" s="596"/>
      <c r="C24" s="596"/>
      <c r="D24" s="596"/>
      <c r="E24" s="596"/>
      <c r="F24" s="596"/>
      <c r="G24" s="596"/>
      <c r="H24" s="711"/>
      <c r="I24" s="711"/>
      <c r="J24" s="711"/>
      <c r="K24" s="711"/>
      <c r="L24" s="711"/>
      <c r="M24" s="711"/>
    </row>
    <row r="25" spans="1:13" ht="18.75">
      <c r="A25" s="575"/>
      <c r="B25" s="596"/>
      <c r="C25" s="596"/>
      <c r="D25" s="596"/>
      <c r="E25" s="596"/>
      <c r="F25" s="596"/>
      <c r="G25" s="596"/>
      <c r="H25" s="596"/>
      <c r="I25" s="749"/>
      <c r="J25" s="749"/>
      <c r="K25" s="749"/>
      <c r="L25" s="575"/>
      <c r="M25" s="575"/>
    </row>
    <row r="26" spans="1:13" ht="9" customHeight="1">
      <c r="A26" s="575"/>
      <c r="B26" s="596"/>
      <c r="C26" s="596"/>
      <c r="D26" s="596"/>
      <c r="E26" s="596"/>
      <c r="F26" s="596"/>
      <c r="G26" s="596"/>
      <c r="H26" s="596"/>
      <c r="I26" s="596"/>
      <c r="J26" s="596"/>
      <c r="K26" s="575"/>
      <c r="L26" s="575"/>
      <c r="M26" s="575"/>
    </row>
    <row r="27" spans="1:13" ht="18.75">
      <c r="A27" s="575"/>
      <c r="B27" s="596"/>
      <c r="C27" s="596"/>
      <c r="D27" s="596"/>
      <c r="E27" s="596"/>
      <c r="F27" s="596"/>
      <c r="G27" s="596"/>
      <c r="H27" s="596"/>
      <c r="I27" s="596"/>
      <c r="J27" s="596"/>
      <c r="K27" s="575"/>
      <c r="L27" s="575"/>
      <c r="M27" s="575"/>
    </row>
    <row r="28" spans="1:13" ht="9" customHeight="1">
      <c r="A28" s="575"/>
      <c r="B28" s="596"/>
      <c r="C28" s="596"/>
      <c r="D28" s="596"/>
      <c r="E28" s="596"/>
      <c r="F28" s="596"/>
      <c r="G28" s="596"/>
      <c r="H28" s="596"/>
      <c r="I28" s="596"/>
      <c r="J28" s="596"/>
      <c r="K28" s="575"/>
      <c r="L28" s="575"/>
      <c r="M28" s="575"/>
    </row>
    <row r="29" spans="1:13" ht="18.75">
      <c r="A29" s="575"/>
      <c r="B29" s="596"/>
      <c r="C29" s="596"/>
      <c r="D29" s="596"/>
      <c r="E29" s="596"/>
      <c r="F29" s="596"/>
      <c r="G29" s="596"/>
      <c r="H29" s="596"/>
      <c r="I29" s="596"/>
      <c r="J29" s="596"/>
      <c r="K29" s="575"/>
      <c r="L29" s="575"/>
      <c r="M29" s="575"/>
    </row>
    <row r="30" spans="2:13" ht="18.75">
      <c r="B30" s="1789" t="str">
        <f>'Thong tin'!B5</f>
        <v>Duy Thị Thúy</v>
      </c>
      <c r="C30" s="1789"/>
      <c r="D30" s="1789"/>
      <c r="E30" s="575"/>
      <c r="F30" s="575"/>
      <c r="G30" s="575"/>
      <c r="H30" s="1731" t="str">
        <f>'Thong tin'!B6</f>
        <v>Nguyễn Tuyên </v>
      </c>
      <c r="I30" s="1731"/>
      <c r="J30" s="1731"/>
      <c r="K30" s="1731"/>
      <c r="L30" s="1731"/>
      <c r="M30" s="831"/>
    </row>
    <row r="31" spans="1:13" ht="22.5" customHeight="1" hidden="1">
      <c r="A31" s="575"/>
      <c r="B31" s="596"/>
      <c r="C31" s="596"/>
      <c r="D31" s="596"/>
      <c r="E31" s="596"/>
      <c r="F31" s="596"/>
      <c r="G31" s="596"/>
      <c r="H31" s="596"/>
      <c r="I31" s="596"/>
      <c r="J31" s="596"/>
      <c r="K31" s="575"/>
      <c r="L31" s="575"/>
      <c r="M31" s="575"/>
    </row>
    <row r="32" spans="1:13" ht="19.5" hidden="1">
      <c r="A32" s="598" t="s">
        <v>46</v>
      </c>
      <c r="B32" s="596"/>
      <c r="C32" s="596"/>
      <c r="D32" s="596"/>
      <c r="E32" s="596"/>
      <c r="F32" s="596"/>
      <c r="G32" s="596"/>
      <c r="H32" s="596"/>
      <c r="I32" s="596"/>
      <c r="J32" s="596"/>
      <c r="K32" s="575"/>
      <c r="L32" s="575"/>
      <c r="M32" s="575"/>
    </row>
    <row r="33" spans="2:13" ht="15.75" customHeight="1" hidden="1">
      <c r="B33" s="1797" t="s">
        <v>58</v>
      </c>
      <c r="C33" s="1797"/>
      <c r="D33" s="1797"/>
      <c r="E33" s="1797"/>
      <c r="F33" s="1797"/>
      <c r="G33" s="1797"/>
      <c r="H33" s="1797"/>
      <c r="I33" s="1797"/>
      <c r="J33" s="1797"/>
      <c r="K33" s="1797"/>
      <c r="L33" s="1797"/>
      <c r="M33" s="835"/>
    </row>
    <row r="34" spans="1:13" ht="16.5" customHeight="1" hidden="1">
      <c r="A34" s="599"/>
      <c r="B34" s="1788" t="s">
        <v>60</v>
      </c>
      <c r="C34" s="1788"/>
      <c r="D34" s="1788"/>
      <c r="E34" s="1788"/>
      <c r="F34" s="1788"/>
      <c r="G34" s="1788"/>
      <c r="H34" s="1788"/>
      <c r="I34" s="1788"/>
      <c r="J34" s="1788"/>
      <c r="K34" s="1788"/>
      <c r="L34" s="1788"/>
      <c r="M34" s="599"/>
    </row>
    <row r="35" ht="15.75" hidden="1">
      <c r="B35" s="565" t="s">
        <v>59</v>
      </c>
    </row>
  </sheetData>
  <sheetProtection/>
  <mergeCells count="32">
    <mergeCell ref="J6:L6"/>
    <mergeCell ref="D6:I6"/>
    <mergeCell ref="J3:L3"/>
    <mergeCell ref="D1:I2"/>
    <mergeCell ref="D3:I3"/>
    <mergeCell ref="J4:L4"/>
    <mergeCell ref="J5:L5"/>
    <mergeCell ref="E8:I8"/>
    <mergeCell ref="D8:D9"/>
    <mergeCell ref="L7:L9"/>
    <mergeCell ref="K7:K9"/>
    <mergeCell ref="J7:J9"/>
    <mergeCell ref="D7:I7"/>
    <mergeCell ref="A4:C4"/>
    <mergeCell ref="D4:I4"/>
    <mergeCell ref="A1:C1"/>
    <mergeCell ref="M7:M9"/>
    <mergeCell ref="J1:L1"/>
    <mergeCell ref="A2:C2"/>
    <mergeCell ref="J2:L2"/>
    <mergeCell ref="A3:C3"/>
    <mergeCell ref="C6:C9"/>
    <mergeCell ref="A6:B9"/>
    <mergeCell ref="B34:L34"/>
    <mergeCell ref="H30:L30"/>
    <mergeCell ref="B30:D30"/>
    <mergeCell ref="A10:B10"/>
    <mergeCell ref="A11:B11"/>
    <mergeCell ref="H22:L22"/>
    <mergeCell ref="H23:L23"/>
    <mergeCell ref="B23:D23"/>
    <mergeCell ref="B33:L3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8"/>
  <sheetViews>
    <sheetView zoomScaleSheetLayoutView="100" zoomScalePageLayoutView="0" workbookViewId="0" topLeftCell="A1">
      <selection activeCell="A13" sqref="A13:IV13"/>
    </sheetView>
  </sheetViews>
  <sheetFormatPr defaultColWidth="9.00390625" defaultRowHeight="15.75"/>
  <cols>
    <col min="1" max="1" width="3.50390625" style="604" customWidth="1"/>
    <col min="2" max="2" width="25.625" style="604" customWidth="1"/>
    <col min="3" max="8" width="5.75390625" style="604" customWidth="1"/>
    <col min="9" max="15" width="6.625" style="604" customWidth="1"/>
    <col min="16" max="21" width="5.75390625" style="604" customWidth="1"/>
    <col min="22" max="16384" width="9.00390625" style="604" customWidth="1"/>
  </cols>
  <sheetData>
    <row r="1" spans="1:22" ht="21" customHeight="1">
      <c r="A1" s="1843" t="s">
        <v>569</v>
      </c>
      <c r="B1" s="1843"/>
      <c r="C1" s="1843"/>
      <c r="D1" s="1843"/>
      <c r="E1" s="600"/>
      <c r="F1" s="1844" t="s">
        <v>570</v>
      </c>
      <c r="G1" s="1844"/>
      <c r="H1" s="1844"/>
      <c r="I1" s="1844"/>
      <c r="J1" s="1844"/>
      <c r="K1" s="1844"/>
      <c r="L1" s="1844"/>
      <c r="M1" s="1844"/>
      <c r="N1" s="1844"/>
      <c r="O1" s="601"/>
      <c r="P1" s="602" t="s">
        <v>398</v>
      </c>
      <c r="Q1" s="603"/>
      <c r="R1" s="603"/>
      <c r="S1" s="603"/>
      <c r="T1" s="603"/>
      <c r="V1" s="605"/>
    </row>
    <row r="2" spans="1:22" ht="21.75" customHeight="1">
      <c r="A2" s="1845" t="s">
        <v>720</v>
      </c>
      <c r="B2" s="1845"/>
      <c r="C2" s="1845"/>
      <c r="D2" s="1845"/>
      <c r="E2" s="1845"/>
      <c r="F2" s="1844"/>
      <c r="G2" s="1844"/>
      <c r="H2" s="1844"/>
      <c r="I2" s="1844"/>
      <c r="J2" s="1844"/>
      <c r="K2" s="1844"/>
      <c r="L2" s="1844"/>
      <c r="M2" s="1844"/>
      <c r="N2" s="1844"/>
      <c r="O2" s="601"/>
      <c r="P2" s="846" t="str">
        <f>'Thong tin'!B4</f>
        <v>Cục THADS tỉnh Tuyên Quang</v>
      </c>
      <c r="Q2" s="847"/>
      <c r="R2" s="848"/>
      <c r="S2" s="848"/>
      <c r="T2" s="848"/>
      <c r="U2" s="699"/>
      <c r="V2" s="605"/>
    </row>
    <row r="3" spans="1:20" ht="16.5" customHeight="1">
      <c r="A3" s="1845" t="s">
        <v>343</v>
      </c>
      <c r="B3" s="1845"/>
      <c r="C3" s="1845"/>
      <c r="D3" s="1845"/>
      <c r="E3" s="1845"/>
      <c r="F3" s="1846" t="str">
        <f>'Thong tin'!B3</f>
        <v>06 tháng / năm 2018</v>
      </c>
      <c r="G3" s="1847"/>
      <c r="H3" s="1847"/>
      <c r="I3" s="1847"/>
      <c r="J3" s="1847"/>
      <c r="K3" s="1847"/>
      <c r="L3" s="1847"/>
      <c r="M3" s="1847"/>
      <c r="N3" s="1847"/>
      <c r="O3" s="606"/>
      <c r="P3" s="752" t="s">
        <v>655</v>
      </c>
      <c r="Q3" s="603"/>
      <c r="R3" s="603"/>
      <c r="S3" s="603"/>
      <c r="T3" s="603"/>
    </row>
    <row r="4" spans="1:20" ht="15" customHeight="1">
      <c r="A4" s="607" t="s">
        <v>571</v>
      </c>
      <c r="B4" s="605"/>
      <c r="C4" s="607"/>
      <c r="D4" s="607"/>
      <c r="E4" s="607"/>
      <c r="F4" s="607"/>
      <c r="G4" s="607"/>
      <c r="H4" s="607"/>
      <c r="I4" s="607"/>
      <c r="J4" s="607"/>
      <c r="K4" s="607"/>
      <c r="L4" s="607"/>
      <c r="M4" s="607"/>
      <c r="N4" s="607"/>
      <c r="O4" s="607"/>
      <c r="P4" s="608" t="s">
        <v>572</v>
      </c>
      <c r="Q4" s="600"/>
      <c r="R4" s="600"/>
      <c r="S4" s="600"/>
      <c r="T4" s="600"/>
    </row>
    <row r="5" spans="1:21" ht="20.25" customHeight="1">
      <c r="A5" s="1839" t="s">
        <v>71</v>
      </c>
      <c r="B5" s="1840"/>
      <c r="C5" s="1832" t="s">
        <v>573</v>
      </c>
      <c r="D5" s="1832"/>
      <c r="E5" s="1832"/>
      <c r="F5" s="1832" t="s">
        <v>574</v>
      </c>
      <c r="G5" s="1832"/>
      <c r="H5" s="1832"/>
      <c r="I5" s="1832"/>
      <c r="J5" s="1832"/>
      <c r="K5" s="1832"/>
      <c r="L5" s="1832"/>
      <c r="M5" s="1832"/>
      <c r="N5" s="1832"/>
      <c r="O5" s="1832"/>
      <c r="P5" s="1832" t="s">
        <v>575</v>
      </c>
      <c r="Q5" s="1832"/>
      <c r="R5" s="1832"/>
      <c r="S5" s="1832"/>
      <c r="T5" s="1832"/>
      <c r="U5" s="1832"/>
    </row>
    <row r="6" spans="1:21" ht="19.5" customHeight="1">
      <c r="A6" s="1841"/>
      <c r="B6" s="1842"/>
      <c r="C6" s="1832"/>
      <c r="D6" s="1832"/>
      <c r="E6" s="1832"/>
      <c r="F6" s="1832" t="s">
        <v>576</v>
      </c>
      <c r="G6" s="1832"/>
      <c r="H6" s="1832"/>
      <c r="I6" s="1832" t="s">
        <v>577</v>
      </c>
      <c r="J6" s="1832"/>
      <c r="K6" s="1832"/>
      <c r="L6" s="1832"/>
      <c r="M6" s="1832"/>
      <c r="N6" s="1832"/>
      <c r="O6" s="1832"/>
      <c r="P6" s="1832" t="s">
        <v>36</v>
      </c>
      <c r="Q6" s="1832" t="s">
        <v>7</v>
      </c>
      <c r="R6" s="1832"/>
      <c r="S6" s="1832"/>
      <c r="T6" s="1832"/>
      <c r="U6" s="1832"/>
    </row>
    <row r="7" spans="1:22" ht="34.5" customHeight="1">
      <c r="A7" s="1841"/>
      <c r="B7" s="1842"/>
      <c r="C7" s="1832"/>
      <c r="D7" s="1832"/>
      <c r="E7" s="1832"/>
      <c r="F7" s="1832"/>
      <c r="G7" s="1832"/>
      <c r="H7" s="1832"/>
      <c r="I7" s="1832" t="s">
        <v>578</v>
      </c>
      <c r="J7" s="1832"/>
      <c r="K7" s="1832"/>
      <c r="L7" s="1832" t="s">
        <v>579</v>
      </c>
      <c r="M7" s="1832"/>
      <c r="N7" s="1832"/>
      <c r="O7" s="1832"/>
      <c r="P7" s="1832"/>
      <c r="Q7" s="1832" t="s">
        <v>654</v>
      </c>
      <c r="R7" s="1832" t="s">
        <v>581</v>
      </c>
      <c r="S7" s="1832" t="s">
        <v>582</v>
      </c>
      <c r="T7" s="1832" t="s">
        <v>583</v>
      </c>
      <c r="U7" s="1832" t="s">
        <v>584</v>
      </c>
      <c r="V7" s="604" t="s">
        <v>585</v>
      </c>
    </row>
    <row r="8" spans="1:21" ht="18.75" customHeight="1">
      <c r="A8" s="1841"/>
      <c r="B8" s="1842"/>
      <c r="C8" s="1832" t="s">
        <v>36</v>
      </c>
      <c r="D8" s="1832" t="s">
        <v>7</v>
      </c>
      <c r="E8" s="1832"/>
      <c r="F8" s="1832" t="s">
        <v>36</v>
      </c>
      <c r="G8" s="1832" t="s">
        <v>7</v>
      </c>
      <c r="H8" s="1832"/>
      <c r="I8" s="1832" t="s">
        <v>36</v>
      </c>
      <c r="J8" s="1832" t="s">
        <v>7</v>
      </c>
      <c r="K8" s="1832"/>
      <c r="L8" s="1832" t="s">
        <v>36</v>
      </c>
      <c r="M8" s="1832" t="s">
        <v>586</v>
      </c>
      <c r="N8" s="1832"/>
      <c r="O8" s="1832"/>
      <c r="P8" s="1832"/>
      <c r="Q8" s="1833"/>
      <c r="R8" s="1832"/>
      <c r="S8" s="1832"/>
      <c r="T8" s="1832"/>
      <c r="U8" s="1832"/>
    </row>
    <row r="9" spans="1:23" ht="122.25" customHeight="1">
      <c r="A9" s="1841"/>
      <c r="B9" s="1842"/>
      <c r="C9" s="1832"/>
      <c r="D9" s="610" t="s">
        <v>587</v>
      </c>
      <c r="E9" s="610" t="s">
        <v>594</v>
      </c>
      <c r="F9" s="1832"/>
      <c r="G9" s="610" t="s">
        <v>587</v>
      </c>
      <c r="H9" s="610" t="s">
        <v>588</v>
      </c>
      <c r="I9" s="1832"/>
      <c r="J9" s="610" t="s">
        <v>589</v>
      </c>
      <c r="K9" s="610" t="s">
        <v>590</v>
      </c>
      <c r="L9" s="1832"/>
      <c r="M9" s="610" t="s">
        <v>591</v>
      </c>
      <c r="N9" s="610" t="s">
        <v>592</v>
      </c>
      <c r="O9" s="610" t="s">
        <v>593</v>
      </c>
      <c r="P9" s="1832"/>
      <c r="Q9" s="1833"/>
      <c r="R9" s="1832"/>
      <c r="S9" s="1832"/>
      <c r="T9" s="1832"/>
      <c r="U9" s="1832"/>
      <c r="V9" s="611"/>
      <c r="W9" s="611"/>
    </row>
    <row r="10" spans="1:29" ht="12.75">
      <c r="A10" s="613"/>
      <c r="B10" s="614" t="s">
        <v>595</v>
      </c>
      <c r="C10" s="615">
        <v>1</v>
      </c>
      <c r="D10" s="616">
        <v>2</v>
      </c>
      <c r="E10" s="615">
        <v>3</v>
      </c>
      <c r="F10" s="616">
        <v>4</v>
      </c>
      <c r="G10" s="615">
        <v>5</v>
      </c>
      <c r="H10" s="616">
        <v>6</v>
      </c>
      <c r="I10" s="615">
        <v>7</v>
      </c>
      <c r="J10" s="616">
        <v>8</v>
      </c>
      <c r="K10" s="615">
        <v>9</v>
      </c>
      <c r="L10" s="616">
        <v>10</v>
      </c>
      <c r="M10" s="615">
        <v>11</v>
      </c>
      <c r="N10" s="616">
        <v>12</v>
      </c>
      <c r="O10" s="615">
        <v>13</v>
      </c>
      <c r="P10" s="616">
        <v>14</v>
      </c>
      <c r="Q10" s="615">
        <v>15</v>
      </c>
      <c r="R10" s="616">
        <v>16</v>
      </c>
      <c r="S10" s="615">
        <v>17</v>
      </c>
      <c r="T10" s="616">
        <v>18</v>
      </c>
      <c r="U10" s="615">
        <v>19</v>
      </c>
      <c r="V10" s="612"/>
      <c r="W10" s="611"/>
      <c r="X10" s="611"/>
      <c r="Y10" s="611"/>
      <c r="Z10" s="611"/>
      <c r="AA10" s="611"/>
      <c r="AB10" s="611"/>
      <c r="AC10" s="611"/>
    </row>
    <row r="11" spans="1:29" s="1051" customFormat="1" ht="16.5" customHeight="1">
      <c r="A11" s="1837" t="s">
        <v>36</v>
      </c>
      <c r="B11" s="1838"/>
      <c r="C11" s="1048">
        <f>C12+C13</f>
        <v>0</v>
      </c>
      <c r="D11" s="1048">
        <f aca="true" t="shared" si="0" ref="D11:U11">D12+D13</f>
        <v>0</v>
      </c>
      <c r="E11" s="1048">
        <f t="shared" si="0"/>
        <v>0</v>
      </c>
      <c r="F11" s="1048">
        <f t="shared" si="0"/>
        <v>0</v>
      </c>
      <c r="G11" s="1048">
        <f t="shared" si="0"/>
        <v>0</v>
      </c>
      <c r="H11" s="1048">
        <f t="shared" si="0"/>
        <v>0</v>
      </c>
      <c r="I11" s="1048">
        <f t="shared" si="0"/>
        <v>0</v>
      </c>
      <c r="J11" s="1048">
        <f t="shared" si="0"/>
        <v>0</v>
      </c>
      <c r="K11" s="1048">
        <f t="shared" si="0"/>
        <v>0</v>
      </c>
      <c r="L11" s="1048">
        <f t="shared" si="0"/>
        <v>0</v>
      </c>
      <c r="M11" s="1048">
        <f t="shared" si="0"/>
        <v>0</v>
      </c>
      <c r="N11" s="1048">
        <f t="shared" si="0"/>
        <v>0</v>
      </c>
      <c r="O11" s="1048">
        <f t="shared" si="0"/>
        <v>0</v>
      </c>
      <c r="P11" s="1048">
        <f t="shared" si="0"/>
        <v>0</v>
      </c>
      <c r="Q11" s="1048">
        <f t="shared" si="0"/>
        <v>0</v>
      </c>
      <c r="R11" s="1048">
        <f t="shared" si="0"/>
        <v>0</v>
      </c>
      <c r="S11" s="1048">
        <f t="shared" si="0"/>
        <v>0</v>
      </c>
      <c r="T11" s="1048">
        <f t="shared" si="0"/>
        <v>0</v>
      </c>
      <c r="U11" s="1048">
        <f t="shared" si="0"/>
        <v>0</v>
      </c>
      <c r="V11" s="1049"/>
      <c r="W11" s="1050"/>
      <c r="X11" s="1050"/>
      <c r="Y11" s="1050"/>
      <c r="Z11" s="1050"/>
      <c r="AA11" s="1050"/>
      <c r="AB11" s="1050"/>
      <c r="AC11" s="1050"/>
    </row>
    <row r="12" spans="1:29" s="1058" customFormat="1" ht="16.5" customHeight="1">
      <c r="A12" s="1053" t="s">
        <v>0</v>
      </c>
      <c r="B12" s="1054" t="s">
        <v>97</v>
      </c>
      <c r="C12" s="1055">
        <v>0</v>
      </c>
      <c r="D12" s="1055">
        <v>0</v>
      </c>
      <c r="E12" s="1055">
        <v>0</v>
      </c>
      <c r="F12" s="1055">
        <v>0</v>
      </c>
      <c r="G12" s="1055">
        <v>0</v>
      </c>
      <c r="H12" s="1055">
        <v>0</v>
      </c>
      <c r="I12" s="1055">
        <v>0</v>
      </c>
      <c r="J12" s="1055">
        <v>0</v>
      </c>
      <c r="K12" s="1055">
        <v>0</v>
      </c>
      <c r="L12" s="1055">
        <v>0</v>
      </c>
      <c r="M12" s="1055">
        <v>0</v>
      </c>
      <c r="N12" s="1055">
        <v>0</v>
      </c>
      <c r="O12" s="1055">
        <v>0</v>
      </c>
      <c r="P12" s="1055">
        <v>0</v>
      </c>
      <c r="Q12" s="1055">
        <v>0</v>
      </c>
      <c r="R12" s="1055">
        <v>0</v>
      </c>
      <c r="S12" s="1055">
        <v>0</v>
      </c>
      <c r="T12" s="1055">
        <v>0</v>
      </c>
      <c r="U12" s="1055">
        <v>0</v>
      </c>
      <c r="V12" s="1056"/>
      <c r="W12" s="1057"/>
      <c r="X12" s="1057"/>
      <c r="Y12" s="1057"/>
      <c r="Z12" s="1057"/>
      <c r="AA12" s="1057"/>
      <c r="AB12" s="1057"/>
      <c r="AC12" s="1057"/>
    </row>
    <row r="13" spans="1:29" s="1064" customFormat="1" ht="16.5" customHeight="1">
      <c r="A13" s="1060" t="s">
        <v>1</v>
      </c>
      <c r="B13" s="1061" t="s">
        <v>18</v>
      </c>
      <c r="C13" s="1062">
        <v>0</v>
      </c>
      <c r="D13" s="1062">
        <v>0</v>
      </c>
      <c r="E13" s="1062">
        <v>0</v>
      </c>
      <c r="F13" s="1062">
        <v>0</v>
      </c>
      <c r="G13" s="1062">
        <v>0</v>
      </c>
      <c r="H13" s="1062">
        <v>0</v>
      </c>
      <c r="I13" s="1062">
        <v>0</v>
      </c>
      <c r="J13" s="1062">
        <v>0</v>
      </c>
      <c r="K13" s="1062">
        <v>0</v>
      </c>
      <c r="L13" s="1062">
        <v>0</v>
      </c>
      <c r="M13" s="1062">
        <v>0</v>
      </c>
      <c r="N13" s="1062">
        <v>0</v>
      </c>
      <c r="O13" s="1062">
        <v>0</v>
      </c>
      <c r="P13" s="1062">
        <v>0</v>
      </c>
      <c r="Q13" s="1062">
        <v>0</v>
      </c>
      <c r="R13" s="1062">
        <v>0</v>
      </c>
      <c r="S13" s="1062">
        <v>0</v>
      </c>
      <c r="T13" s="1062">
        <v>0</v>
      </c>
      <c r="U13" s="1062">
        <v>0</v>
      </c>
      <c r="V13" s="1063"/>
      <c r="W13" s="1063"/>
      <c r="X13" s="1063"/>
      <c r="Y13" s="1063"/>
      <c r="Z13" s="1063"/>
      <c r="AA13" s="1063"/>
      <c r="AB13" s="1063"/>
      <c r="AC13" s="1063"/>
    </row>
    <row r="14" spans="1:29" s="618" customFormat="1" ht="18" customHeight="1">
      <c r="A14" s="620" t="s">
        <v>51</v>
      </c>
      <c r="B14" s="816" t="s">
        <v>709</v>
      </c>
      <c r="C14" s="1022">
        <v>0</v>
      </c>
      <c r="D14" s="1022"/>
      <c r="E14" s="1022"/>
      <c r="F14" s="1022"/>
      <c r="G14" s="1022"/>
      <c r="H14" s="1022"/>
      <c r="I14" s="1022"/>
      <c r="J14" s="1022"/>
      <c r="K14" s="1022"/>
      <c r="L14" s="1022"/>
      <c r="M14" s="1022"/>
      <c r="N14" s="1022"/>
      <c r="O14" s="1022"/>
      <c r="P14" s="1022"/>
      <c r="Q14" s="619"/>
      <c r="R14" s="619"/>
      <c r="S14" s="619"/>
      <c r="T14" s="619"/>
      <c r="U14" s="619"/>
      <c r="V14" s="617"/>
      <c r="W14" s="617"/>
      <c r="X14" s="617"/>
      <c r="Y14" s="617"/>
      <c r="Z14" s="617"/>
      <c r="AA14" s="617"/>
      <c r="AB14" s="617"/>
      <c r="AC14" s="617"/>
    </row>
    <row r="15" spans="1:29" s="618" customFormat="1" ht="18" customHeight="1">
      <c r="A15" s="620" t="s">
        <v>52</v>
      </c>
      <c r="B15" s="816" t="s">
        <v>710</v>
      </c>
      <c r="C15" s="1022">
        <v>0</v>
      </c>
      <c r="D15" s="1022"/>
      <c r="E15" s="1022"/>
      <c r="F15" s="1022"/>
      <c r="G15" s="1022"/>
      <c r="H15" s="1022"/>
      <c r="I15" s="1022"/>
      <c r="J15" s="1022"/>
      <c r="K15" s="1022"/>
      <c r="L15" s="1022"/>
      <c r="M15" s="1022"/>
      <c r="N15" s="1022"/>
      <c r="O15" s="1022"/>
      <c r="P15" s="1022"/>
      <c r="Q15" s="619"/>
      <c r="R15" s="619"/>
      <c r="S15" s="619"/>
      <c r="T15" s="619"/>
      <c r="U15" s="619"/>
      <c r="V15" s="617"/>
      <c r="W15" s="617"/>
      <c r="X15" s="617"/>
      <c r="Y15" s="617"/>
      <c r="Z15" s="617"/>
      <c r="AA15" s="617"/>
      <c r="AB15" s="617"/>
      <c r="AC15" s="617"/>
    </row>
    <row r="16" spans="1:29" s="618" customFormat="1" ht="18" customHeight="1">
      <c r="A16" s="620" t="s">
        <v>57</v>
      </c>
      <c r="B16" s="816" t="s">
        <v>711</v>
      </c>
      <c r="C16" s="1022">
        <v>0</v>
      </c>
      <c r="D16" s="1022"/>
      <c r="E16" s="1022"/>
      <c r="F16" s="1022"/>
      <c r="G16" s="1022"/>
      <c r="H16" s="1022"/>
      <c r="I16" s="1022"/>
      <c r="J16" s="1022"/>
      <c r="K16" s="1022"/>
      <c r="L16" s="1022"/>
      <c r="M16" s="1022"/>
      <c r="N16" s="1022"/>
      <c r="O16" s="1022"/>
      <c r="P16" s="1022"/>
      <c r="Q16" s="619"/>
      <c r="R16" s="619"/>
      <c r="S16" s="619"/>
      <c r="T16" s="619"/>
      <c r="U16" s="619"/>
      <c r="V16" s="617"/>
      <c r="W16" s="617"/>
      <c r="X16" s="617"/>
      <c r="Y16" s="617"/>
      <c r="Z16" s="617"/>
      <c r="AA16" s="617"/>
      <c r="AB16" s="617"/>
      <c r="AC16" s="617"/>
    </row>
    <row r="17" spans="1:29" s="618" customFormat="1" ht="18" customHeight="1">
      <c r="A17" s="620" t="s">
        <v>72</v>
      </c>
      <c r="B17" s="816" t="s">
        <v>712</v>
      </c>
      <c r="C17" s="1022">
        <v>0</v>
      </c>
      <c r="D17" s="1022"/>
      <c r="E17" s="1022"/>
      <c r="F17" s="1022"/>
      <c r="G17" s="1022"/>
      <c r="H17" s="1022"/>
      <c r="I17" s="1022"/>
      <c r="J17" s="1022"/>
      <c r="K17" s="1022"/>
      <c r="L17" s="1022"/>
      <c r="M17" s="1022"/>
      <c r="N17" s="1022"/>
      <c r="O17" s="1022"/>
      <c r="P17" s="1022"/>
      <c r="Q17" s="619"/>
      <c r="R17" s="619"/>
      <c r="S17" s="619"/>
      <c r="T17" s="619"/>
      <c r="U17" s="619"/>
      <c r="V17" s="617"/>
      <c r="W17" s="617"/>
      <c r="X17" s="617"/>
      <c r="Y17" s="617"/>
      <c r="Z17" s="617"/>
      <c r="AA17" s="617"/>
      <c r="AB17" s="617"/>
      <c r="AC17" s="617"/>
    </row>
    <row r="18" spans="1:29" s="618" customFormat="1" ht="18" customHeight="1">
      <c r="A18" s="620" t="s">
        <v>73</v>
      </c>
      <c r="B18" s="816" t="s">
        <v>713</v>
      </c>
      <c r="C18" s="1022">
        <f>D18+E18</f>
        <v>0</v>
      </c>
      <c r="D18" s="1022"/>
      <c r="E18" s="1022"/>
      <c r="F18" s="1022"/>
      <c r="G18" s="1022"/>
      <c r="H18" s="1022"/>
      <c r="I18" s="1022"/>
      <c r="J18" s="1022"/>
      <c r="K18" s="1022"/>
      <c r="L18" s="1022"/>
      <c r="M18" s="1022"/>
      <c r="N18" s="1022"/>
      <c r="O18" s="1022"/>
      <c r="P18" s="1022"/>
      <c r="Q18" s="619"/>
      <c r="R18" s="619"/>
      <c r="S18" s="619"/>
      <c r="T18" s="619"/>
      <c r="U18" s="619"/>
      <c r="V18" s="617"/>
      <c r="W18" s="617"/>
      <c r="X18" s="617"/>
      <c r="Y18" s="617"/>
      <c r="Z18" s="617"/>
      <c r="AA18" s="617"/>
      <c r="AB18" s="617"/>
      <c r="AC18" s="617"/>
    </row>
    <row r="19" spans="1:29" s="618" customFormat="1" ht="18" customHeight="1">
      <c r="A19" s="620" t="s">
        <v>74</v>
      </c>
      <c r="B19" s="816" t="s">
        <v>714</v>
      </c>
      <c r="C19" s="1022">
        <v>0</v>
      </c>
      <c r="D19" s="1022"/>
      <c r="E19" s="1022"/>
      <c r="F19" s="1022"/>
      <c r="G19" s="1022"/>
      <c r="H19" s="1022"/>
      <c r="I19" s="1022"/>
      <c r="J19" s="1022"/>
      <c r="K19" s="1022"/>
      <c r="L19" s="1022"/>
      <c r="M19" s="1022"/>
      <c r="N19" s="1022"/>
      <c r="O19" s="1022"/>
      <c r="P19" s="1022"/>
      <c r="Q19" s="619"/>
      <c r="R19" s="619"/>
      <c r="S19" s="619"/>
      <c r="T19" s="619"/>
      <c r="U19" s="619"/>
      <c r="V19" s="617"/>
      <c r="W19" s="617"/>
      <c r="X19" s="617"/>
      <c r="Y19" s="617"/>
      <c r="Z19" s="617"/>
      <c r="AA19" s="617"/>
      <c r="AB19" s="617"/>
      <c r="AC19" s="617"/>
    </row>
    <row r="20" spans="1:29" s="618" customFormat="1" ht="18" customHeight="1">
      <c r="A20" s="620" t="s">
        <v>75</v>
      </c>
      <c r="B20" s="816" t="s">
        <v>715</v>
      </c>
      <c r="C20" s="1022">
        <v>0</v>
      </c>
      <c r="D20" s="1022"/>
      <c r="E20" s="1022"/>
      <c r="F20" s="1022"/>
      <c r="G20" s="1022"/>
      <c r="H20" s="1022"/>
      <c r="I20" s="1022"/>
      <c r="J20" s="1022"/>
      <c r="K20" s="1022"/>
      <c r="L20" s="1022"/>
      <c r="M20" s="1022"/>
      <c r="N20" s="1022"/>
      <c r="O20" s="1022"/>
      <c r="P20" s="1022"/>
      <c r="Q20" s="619"/>
      <c r="R20" s="619"/>
      <c r="S20" s="619"/>
      <c r="T20" s="619"/>
      <c r="U20" s="619"/>
      <c r="V20" s="617"/>
      <c r="W20" s="617"/>
      <c r="X20" s="617"/>
      <c r="Y20" s="617"/>
      <c r="Z20" s="617"/>
      <c r="AA20" s="617"/>
      <c r="AB20" s="617"/>
      <c r="AC20" s="617"/>
    </row>
    <row r="21" spans="1:21" ht="22.5" customHeight="1">
      <c r="A21" s="621"/>
      <c r="B21" s="1835"/>
      <c r="C21" s="1835"/>
      <c r="D21" s="1835"/>
      <c r="E21" s="1835"/>
      <c r="F21" s="1835"/>
      <c r="G21" s="1835"/>
      <c r="H21" s="693"/>
      <c r="I21" s="693"/>
      <c r="J21" s="693"/>
      <c r="K21" s="693"/>
      <c r="L21" s="693"/>
      <c r="M21" s="753"/>
      <c r="N21" s="1834" t="str">
        <f>'Thong tin'!B8</f>
        <v>Tuyên Quang, ngày 05 tháng 04 năm 2018</v>
      </c>
      <c r="O21" s="1834"/>
      <c r="P21" s="1834"/>
      <c r="Q21" s="1834"/>
      <c r="R21" s="1834"/>
      <c r="S21" s="1834"/>
      <c r="T21" s="1834"/>
      <c r="U21" s="1834"/>
    </row>
    <row r="22" spans="1:21" ht="17.25" customHeight="1">
      <c r="A22" s="621"/>
      <c r="B22" s="1836" t="s">
        <v>4</v>
      </c>
      <c r="C22" s="1836"/>
      <c r="D22" s="1836"/>
      <c r="E22" s="1836"/>
      <c r="F22" s="1836"/>
      <c r="G22" s="1836"/>
      <c r="H22" s="664"/>
      <c r="I22" s="664"/>
      <c r="J22" s="664"/>
      <c r="K22" s="664"/>
      <c r="L22" s="664"/>
      <c r="M22" s="753"/>
      <c r="N22" s="1827" t="str">
        <f>'Thong tin'!B7</f>
        <v>CỤC TRƯỞNG</v>
      </c>
      <c r="O22" s="1827"/>
      <c r="P22" s="1827"/>
      <c r="Q22" s="1827"/>
      <c r="R22" s="1827"/>
      <c r="S22" s="1827"/>
      <c r="T22" s="1827"/>
      <c r="U22" s="1827"/>
    </row>
    <row r="23" spans="1:21" ht="18" customHeight="1">
      <c r="A23" s="625"/>
      <c r="B23" s="1826"/>
      <c r="C23" s="1826"/>
      <c r="D23" s="1826"/>
      <c r="E23" s="1826"/>
      <c r="F23" s="1826"/>
      <c r="G23" s="755"/>
      <c r="H23" s="755"/>
      <c r="I23" s="755"/>
      <c r="J23" s="755"/>
      <c r="K23" s="755"/>
      <c r="L23" s="755"/>
      <c r="M23" s="755"/>
      <c r="N23" s="1827"/>
      <c r="O23" s="1827"/>
      <c r="P23" s="1827"/>
      <c r="Q23" s="1827"/>
      <c r="R23" s="1827"/>
      <c r="S23" s="1827"/>
      <c r="T23" s="1827"/>
      <c r="U23" s="1827"/>
    </row>
    <row r="24" spans="2:21" ht="23.25" customHeight="1">
      <c r="B24" s="1828"/>
      <c r="C24" s="1828"/>
      <c r="D24" s="1828"/>
      <c r="E24" s="1828"/>
      <c r="F24" s="1828"/>
      <c r="G24" s="753"/>
      <c r="H24" s="753"/>
      <c r="I24" s="753"/>
      <c r="J24" s="753"/>
      <c r="K24" s="753"/>
      <c r="L24" s="753"/>
      <c r="M24" s="753"/>
      <c r="N24" s="753"/>
      <c r="O24" s="753"/>
      <c r="P24" s="1828"/>
      <c r="Q24" s="1828"/>
      <c r="R24" s="1828"/>
      <c r="S24" s="1828"/>
      <c r="T24" s="1828"/>
      <c r="U24" s="753"/>
    </row>
    <row r="25" spans="2:21" ht="3" customHeight="1">
      <c r="B25" s="753"/>
      <c r="C25" s="753"/>
      <c r="D25" s="753"/>
      <c r="E25" s="753"/>
      <c r="F25" s="753"/>
      <c r="G25" s="753"/>
      <c r="H25" s="753"/>
      <c r="I25" s="753"/>
      <c r="J25" s="753"/>
      <c r="K25" s="753"/>
      <c r="L25" s="753"/>
      <c r="M25" s="753"/>
      <c r="N25" s="753"/>
      <c r="O25" s="753"/>
      <c r="P25" s="753"/>
      <c r="Q25" s="1831"/>
      <c r="R25" s="1831"/>
      <c r="S25" s="753"/>
      <c r="T25" s="753"/>
      <c r="U25" s="753"/>
    </row>
    <row r="26" spans="2:21" ht="10.5" customHeight="1">
      <c r="B26" s="753"/>
      <c r="C26" s="753"/>
      <c r="D26" s="753"/>
      <c r="E26" s="753"/>
      <c r="F26" s="753"/>
      <c r="G26" s="753"/>
      <c r="H26" s="753"/>
      <c r="I26" s="753"/>
      <c r="J26" s="753"/>
      <c r="K26" s="753"/>
      <c r="L26" s="753"/>
      <c r="M26" s="753"/>
      <c r="N26" s="753"/>
      <c r="O26" s="753"/>
      <c r="P26" s="753"/>
      <c r="Q26" s="753"/>
      <c r="R26" s="753"/>
      <c r="S26" s="753"/>
      <c r="T26" s="753"/>
      <c r="U26" s="753"/>
    </row>
    <row r="27" spans="2:21" ht="18">
      <c r="B27" s="753"/>
      <c r="C27" s="753"/>
      <c r="D27" s="753"/>
      <c r="E27" s="753"/>
      <c r="F27" s="753"/>
      <c r="G27" s="753"/>
      <c r="H27" s="753"/>
      <c r="I27" s="753"/>
      <c r="J27" s="753" t="s">
        <v>585</v>
      </c>
      <c r="K27" s="753"/>
      <c r="L27" s="753"/>
      <c r="M27" s="753"/>
      <c r="N27" s="753"/>
      <c r="O27" s="753"/>
      <c r="P27" s="753"/>
      <c r="Q27" s="753"/>
      <c r="R27" s="753"/>
      <c r="S27" s="753"/>
      <c r="T27" s="753"/>
      <c r="U27" s="753"/>
    </row>
    <row r="28" spans="2:21" ht="16.5">
      <c r="B28" s="1829" t="str">
        <f>'Thong tin'!B5</f>
        <v>Duy Thị Thúy</v>
      </c>
      <c r="C28" s="1829"/>
      <c r="D28" s="1829"/>
      <c r="E28" s="1829"/>
      <c r="F28" s="1829"/>
      <c r="G28" s="1829"/>
      <c r="H28" s="756"/>
      <c r="I28" s="757"/>
      <c r="J28" s="757"/>
      <c r="K28" s="757"/>
      <c r="L28" s="757"/>
      <c r="M28" s="757"/>
      <c r="N28" s="1829" t="str">
        <f>'Thong tin'!B6</f>
        <v>Nguyễn Tuyên </v>
      </c>
      <c r="O28" s="1829"/>
      <c r="P28" s="1829"/>
      <c r="Q28" s="1829"/>
      <c r="R28" s="1829"/>
      <c r="S28" s="1829"/>
      <c r="T28" s="1829"/>
      <c r="U28" s="1829"/>
    </row>
    <row r="30" spans="15:20" ht="12.75">
      <c r="O30" s="1830"/>
      <c r="P30" s="1830"/>
      <c r="Q30" s="1830"/>
      <c r="R30" s="1830"/>
      <c r="S30" s="1830"/>
      <c r="T30" s="1830"/>
    </row>
    <row r="32" ht="12.75" hidden="1"/>
    <row r="33" spans="1:14" ht="12.75" customHeight="1" hidden="1">
      <c r="A33" s="629" t="s">
        <v>224</v>
      </c>
      <c r="B33" s="630"/>
      <c r="C33" s="630"/>
      <c r="D33" s="630"/>
      <c r="E33" s="630"/>
      <c r="F33" s="630"/>
      <c r="G33" s="630"/>
      <c r="H33" s="630"/>
      <c r="I33" s="630"/>
      <c r="J33" s="630"/>
      <c r="K33" s="630"/>
      <c r="L33" s="630"/>
      <c r="M33" s="630"/>
      <c r="N33" s="630"/>
    </row>
    <row r="34" spans="1:14" s="631" customFormat="1" ht="15.75" customHeight="1" hidden="1">
      <c r="A34" s="1825" t="s">
        <v>596</v>
      </c>
      <c r="B34" s="1825"/>
      <c r="C34" s="1825"/>
      <c r="D34" s="1825"/>
      <c r="E34" s="1825"/>
      <c r="F34" s="1825"/>
      <c r="G34" s="1825"/>
      <c r="H34" s="1825"/>
      <c r="I34" s="1825"/>
      <c r="J34" s="1825"/>
      <c r="K34" s="1825"/>
      <c r="L34" s="630"/>
      <c r="M34" s="630"/>
      <c r="N34" s="630"/>
    </row>
    <row r="35" spans="1:14" s="634" customFormat="1" ht="15" hidden="1">
      <c r="A35" s="632" t="s">
        <v>597</v>
      </c>
      <c r="B35" s="633"/>
      <c r="C35" s="633"/>
      <c r="D35" s="633"/>
      <c r="E35" s="633"/>
      <c r="F35" s="633"/>
      <c r="G35" s="633"/>
      <c r="H35" s="633"/>
      <c r="I35" s="633"/>
      <c r="J35" s="633"/>
      <c r="K35" s="633"/>
      <c r="L35" s="633"/>
      <c r="M35" s="633"/>
      <c r="N35" s="633"/>
    </row>
    <row r="36" spans="1:14" s="631" customFormat="1" ht="15" hidden="1">
      <c r="A36" s="632" t="s">
        <v>598</v>
      </c>
      <c r="B36" s="633"/>
      <c r="C36" s="633"/>
      <c r="D36" s="633"/>
      <c r="E36" s="633"/>
      <c r="F36" s="633"/>
      <c r="G36" s="633"/>
      <c r="H36" s="633"/>
      <c r="I36" s="633"/>
      <c r="J36" s="633"/>
      <c r="K36" s="633"/>
      <c r="L36" s="635"/>
      <c r="M36" s="635"/>
      <c r="N36" s="635"/>
    </row>
    <row r="37" spans="1:14" s="631" customFormat="1" ht="15" hidden="1">
      <c r="A37" s="635"/>
      <c r="B37" s="635"/>
      <c r="C37" s="635"/>
      <c r="D37" s="635"/>
      <c r="E37" s="635"/>
      <c r="F37" s="635"/>
      <c r="G37" s="635"/>
      <c r="H37" s="635"/>
      <c r="I37" s="635"/>
      <c r="J37" s="635"/>
      <c r="K37" s="635"/>
      <c r="L37" s="635"/>
      <c r="M37" s="635"/>
      <c r="N37" s="635"/>
    </row>
    <row r="38" spans="1:14" ht="12.75" hidden="1">
      <c r="A38" s="625"/>
      <c r="B38" s="625"/>
      <c r="C38" s="625"/>
      <c r="D38" s="625"/>
      <c r="E38" s="625"/>
      <c r="F38" s="625"/>
      <c r="G38" s="625"/>
      <c r="H38" s="625"/>
      <c r="I38" s="625"/>
      <c r="J38" s="625"/>
      <c r="K38" s="625"/>
      <c r="L38" s="625"/>
      <c r="M38" s="625"/>
      <c r="N38" s="625"/>
    </row>
    <row r="39" ht="15.75" hidden="1">
      <c r="H39" s="562"/>
    </row>
    <row r="40" ht="12.75" hidden="1"/>
    <row r="41" ht="12.75" hidden="1"/>
    <row r="42" ht="12.75" hidden="1"/>
    <row r="43" ht="12.75" hidden="1"/>
    <row r="44" ht="12.75" hidden="1">
      <c r="D44" s="636"/>
    </row>
    <row r="45" ht="12.75" hidden="1">
      <c r="C45" s="636"/>
    </row>
    <row r="46" ht="12.75" hidden="1"/>
    <row r="47" ht="12.75" hidden="1"/>
    <row r="48" ht="12.75" hidden="1">
      <c r="L48" s="636" t="e">
        <f>J48/K48</f>
        <v>#DIV/0!</v>
      </c>
    </row>
    <row r="49" ht="12.75" hidden="1"/>
    <row r="50" ht="12.75" hidden="1"/>
    <row r="51" ht="12.75" hidden="1"/>
    <row r="52" ht="12.75" hidden="1"/>
    <row r="53" ht="12.75" hidden="1"/>
    <row r="54" ht="12.75" hidden="1"/>
    <row r="55" ht="12.75" hidden="1"/>
    <row r="56" ht="12.75" hidden="1"/>
    <row r="57" ht="12.75" hidden="1"/>
  </sheetData>
  <sheetProtection/>
  <mergeCells count="42">
    <mergeCell ref="A1:D1"/>
    <mergeCell ref="F1:N2"/>
    <mergeCell ref="A2:E2"/>
    <mergeCell ref="A3:E3"/>
    <mergeCell ref="F3:N3"/>
    <mergeCell ref="F8:F9"/>
    <mergeCell ref="C5:E7"/>
    <mergeCell ref="I7:K7"/>
    <mergeCell ref="F5:O5"/>
    <mergeCell ref="B22:G22"/>
    <mergeCell ref="D8:E8"/>
    <mergeCell ref="L8:L9"/>
    <mergeCell ref="A11:B11"/>
    <mergeCell ref="A5:B9"/>
    <mergeCell ref="F6:H7"/>
    <mergeCell ref="G8:H8"/>
    <mergeCell ref="P5:U5"/>
    <mergeCell ref="L7:O7"/>
    <mergeCell ref="C8:C9"/>
    <mergeCell ref="U7:U9"/>
    <mergeCell ref="B21:G21"/>
    <mergeCell ref="I8:I9"/>
    <mergeCell ref="J8:K8"/>
    <mergeCell ref="M8:O8"/>
    <mergeCell ref="Q6:U6"/>
    <mergeCell ref="R7:R9"/>
    <mergeCell ref="S7:S9"/>
    <mergeCell ref="N22:U22"/>
    <mergeCell ref="T7:T9"/>
    <mergeCell ref="I6:O6"/>
    <mergeCell ref="P6:P9"/>
    <mergeCell ref="Q7:Q9"/>
    <mergeCell ref="N21:U21"/>
    <mergeCell ref="A34:K34"/>
    <mergeCell ref="B23:F23"/>
    <mergeCell ref="N23:U23"/>
    <mergeCell ref="B24:F24"/>
    <mergeCell ref="P24:T24"/>
    <mergeCell ref="N28:U28"/>
    <mergeCell ref="O30:T30"/>
    <mergeCell ref="B28:G28"/>
    <mergeCell ref="Q25:R25"/>
  </mergeCells>
  <printOptions/>
  <pageMargins left="0.49" right="0" top="0.14" bottom="0" header="0.07" footer="0.15"/>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13"/>
  </sheetPr>
  <dimension ref="A1:U32"/>
  <sheetViews>
    <sheetView zoomScaleSheetLayoutView="100" zoomScalePageLayoutView="0" workbookViewId="0" topLeftCell="A4">
      <selection activeCell="F3" sqref="F3:N3"/>
    </sheetView>
  </sheetViews>
  <sheetFormatPr defaultColWidth="9.00390625" defaultRowHeight="15.75"/>
  <cols>
    <col min="1" max="1" width="3.50390625" style="640" customWidth="1"/>
    <col min="2" max="2" width="25.25390625" style="640" customWidth="1"/>
    <col min="3" max="3" width="5.25390625" style="640" customWidth="1"/>
    <col min="4" max="4" width="6.625" style="640" customWidth="1"/>
    <col min="5" max="5" width="5.125" style="640" customWidth="1"/>
    <col min="6" max="9" width="5.75390625" style="640" customWidth="1"/>
    <col min="10" max="10" width="6.875" style="640" customWidth="1"/>
    <col min="11" max="11" width="7.50390625" style="640" customWidth="1"/>
    <col min="12" max="12" width="5.75390625" style="640" customWidth="1"/>
    <col min="13" max="13" width="7.75390625" style="640" customWidth="1"/>
    <col min="14" max="14" width="10.50390625" style="640" customWidth="1"/>
    <col min="15" max="15" width="8.125" style="640" customWidth="1"/>
    <col min="16" max="21" width="5.75390625" style="640" customWidth="1"/>
    <col min="22" max="16384" width="9.00390625" style="640" customWidth="1"/>
  </cols>
  <sheetData>
    <row r="1" spans="1:21" ht="19.5" customHeight="1">
      <c r="A1" s="1872" t="s">
        <v>599</v>
      </c>
      <c r="B1" s="1872"/>
      <c r="C1" s="1872"/>
      <c r="D1" s="1872"/>
      <c r="E1" s="637"/>
      <c r="F1" s="1873" t="s">
        <v>600</v>
      </c>
      <c r="G1" s="1873"/>
      <c r="H1" s="1873"/>
      <c r="I1" s="1873"/>
      <c r="J1" s="1873"/>
      <c r="K1" s="1873"/>
      <c r="L1" s="1873"/>
      <c r="M1" s="1873"/>
      <c r="N1" s="1873"/>
      <c r="O1" s="638"/>
      <c r="P1" s="1866" t="s">
        <v>467</v>
      </c>
      <c r="Q1" s="1867"/>
      <c r="R1" s="1867"/>
      <c r="S1" s="1867"/>
      <c r="T1" s="1867"/>
      <c r="U1" s="1867"/>
    </row>
    <row r="2" spans="1:21" ht="15.75" customHeight="1">
      <c r="A2" s="1868" t="s">
        <v>720</v>
      </c>
      <c r="B2" s="1868"/>
      <c r="C2" s="1868"/>
      <c r="D2" s="1868"/>
      <c r="E2" s="1868"/>
      <c r="F2" s="1873"/>
      <c r="G2" s="1873"/>
      <c r="H2" s="1873"/>
      <c r="I2" s="1873"/>
      <c r="J2" s="1873"/>
      <c r="K2" s="1873"/>
      <c r="L2" s="1873"/>
      <c r="M2" s="1873"/>
      <c r="N2" s="1873"/>
      <c r="O2" s="638"/>
      <c r="P2" s="1874" t="s">
        <v>725</v>
      </c>
      <c r="Q2" s="1874"/>
      <c r="R2" s="1874"/>
      <c r="S2" s="1874"/>
      <c r="T2" s="1874"/>
      <c r="U2" s="1874"/>
    </row>
    <row r="3" spans="1:20" ht="15.75" customHeight="1">
      <c r="A3" s="1869" t="s">
        <v>343</v>
      </c>
      <c r="B3" s="1869"/>
      <c r="C3" s="1869"/>
      <c r="D3" s="1869"/>
      <c r="E3" s="1869"/>
      <c r="F3" s="1870" t="s">
        <v>800</v>
      </c>
      <c r="G3" s="1871"/>
      <c r="H3" s="1871"/>
      <c r="I3" s="1871"/>
      <c r="J3" s="1871"/>
      <c r="K3" s="1871"/>
      <c r="L3" s="1871"/>
      <c r="M3" s="1871"/>
      <c r="N3" s="1871"/>
      <c r="O3" s="643"/>
      <c r="P3" s="758" t="s">
        <v>655</v>
      </c>
      <c r="Q3" s="644"/>
      <c r="R3" s="644"/>
      <c r="S3" s="644"/>
      <c r="T3" s="644"/>
    </row>
    <row r="4" spans="1:20" ht="15" customHeight="1">
      <c r="A4" s="645" t="s">
        <v>601</v>
      </c>
      <c r="B4" s="645"/>
      <c r="C4" s="645"/>
      <c r="D4" s="1861"/>
      <c r="E4" s="1861"/>
      <c r="F4" s="1861"/>
      <c r="G4" s="1861"/>
      <c r="H4" s="1861"/>
      <c r="I4" s="1861"/>
      <c r="J4" s="1861"/>
      <c r="K4" s="1861"/>
      <c r="L4" s="1861"/>
      <c r="M4" s="1861"/>
      <c r="N4" s="1861"/>
      <c r="O4" s="1861"/>
      <c r="P4" s="646" t="s">
        <v>602</v>
      </c>
      <c r="Q4" s="641"/>
      <c r="R4" s="641"/>
      <c r="S4" s="641"/>
      <c r="T4" s="641"/>
    </row>
    <row r="5" spans="1:21" s="648" customFormat="1" ht="15.75" customHeight="1">
      <c r="A5" s="1862" t="s">
        <v>71</v>
      </c>
      <c r="B5" s="1863"/>
      <c r="C5" s="1854" t="s">
        <v>573</v>
      </c>
      <c r="D5" s="1854"/>
      <c r="E5" s="1854"/>
      <c r="F5" s="1854" t="s">
        <v>603</v>
      </c>
      <c r="G5" s="1854"/>
      <c r="H5" s="1854"/>
      <c r="I5" s="1854"/>
      <c r="J5" s="1854"/>
      <c r="K5" s="1854"/>
      <c r="L5" s="1854"/>
      <c r="M5" s="1854"/>
      <c r="N5" s="1854"/>
      <c r="O5" s="1854"/>
      <c r="P5" s="1854" t="s">
        <v>604</v>
      </c>
      <c r="Q5" s="1854"/>
      <c r="R5" s="1854"/>
      <c r="S5" s="1854"/>
      <c r="T5" s="1854"/>
      <c r="U5" s="1854"/>
    </row>
    <row r="6" spans="1:21" s="648" customFormat="1" ht="14.25" customHeight="1">
      <c r="A6" s="1864"/>
      <c r="B6" s="1865"/>
      <c r="C6" s="1854"/>
      <c r="D6" s="1854"/>
      <c r="E6" s="1854"/>
      <c r="F6" s="1854" t="s">
        <v>605</v>
      </c>
      <c r="G6" s="1854"/>
      <c r="H6" s="1854"/>
      <c r="I6" s="1854" t="s">
        <v>577</v>
      </c>
      <c r="J6" s="1854"/>
      <c r="K6" s="1854"/>
      <c r="L6" s="1854"/>
      <c r="M6" s="1854"/>
      <c r="N6" s="1854"/>
      <c r="O6" s="1854"/>
      <c r="P6" s="1854" t="s">
        <v>225</v>
      </c>
      <c r="Q6" s="1860" t="s">
        <v>7</v>
      </c>
      <c r="R6" s="1860"/>
      <c r="S6" s="1860"/>
      <c r="T6" s="1860"/>
      <c r="U6" s="1860"/>
    </row>
    <row r="7" spans="1:21" s="648" customFormat="1" ht="32.25" customHeight="1">
      <c r="A7" s="1864"/>
      <c r="B7" s="1865"/>
      <c r="C7" s="1854"/>
      <c r="D7" s="1854"/>
      <c r="E7" s="1854"/>
      <c r="F7" s="1854"/>
      <c r="G7" s="1854"/>
      <c r="H7" s="1854"/>
      <c r="I7" s="1854" t="s">
        <v>578</v>
      </c>
      <c r="J7" s="1854"/>
      <c r="K7" s="1854"/>
      <c r="L7" s="1854" t="s">
        <v>606</v>
      </c>
      <c r="M7" s="1854"/>
      <c r="N7" s="1854"/>
      <c r="O7" s="1854"/>
      <c r="P7" s="1854"/>
      <c r="Q7" s="1854" t="s">
        <v>580</v>
      </c>
      <c r="R7" s="1854" t="s">
        <v>607</v>
      </c>
      <c r="S7" s="1854" t="s">
        <v>608</v>
      </c>
      <c r="T7" s="1854" t="s">
        <v>609</v>
      </c>
      <c r="U7" s="1854" t="s">
        <v>610</v>
      </c>
    </row>
    <row r="8" spans="1:21" s="648" customFormat="1" ht="15" customHeight="1">
      <c r="A8" s="1864"/>
      <c r="B8" s="1865"/>
      <c r="C8" s="1854" t="s">
        <v>611</v>
      </c>
      <c r="D8" s="1854" t="s">
        <v>7</v>
      </c>
      <c r="E8" s="1854"/>
      <c r="F8" s="1854" t="s">
        <v>612</v>
      </c>
      <c r="G8" s="1854" t="s">
        <v>7</v>
      </c>
      <c r="H8" s="1854"/>
      <c r="I8" s="1854" t="s">
        <v>613</v>
      </c>
      <c r="J8" s="1854" t="s">
        <v>7</v>
      </c>
      <c r="K8" s="1854"/>
      <c r="L8" s="1854" t="s">
        <v>612</v>
      </c>
      <c r="M8" s="1854" t="s">
        <v>7</v>
      </c>
      <c r="N8" s="1854"/>
      <c r="O8" s="1854"/>
      <c r="P8" s="1854"/>
      <c r="Q8" s="1854"/>
      <c r="R8" s="1859"/>
      <c r="S8" s="1855"/>
      <c r="T8" s="1854"/>
      <c r="U8" s="1854"/>
    </row>
    <row r="9" spans="1:21" s="648" customFormat="1" ht="79.5" customHeight="1">
      <c r="A9" s="1864"/>
      <c r="B9" s="1865"/>
      <c r="C9" s="1854"/>
      <c r="D9" s="647" t="s">
        <v>614</v>
      </c>
      <c r="E9" s="647" t="s">
        <v>615</v>
      </c>
      <c r="F9" s="1859"/>
      <c r="G9" s="647" t="s">
        <v>616</v>
      </c>
      <c r="H9" s="647" t="s">
        <v>617</v>
      </c>
      <c r="I9" s="1859"/>
      <c r="J9" s="647" t="s">
        <v>618</v>
      </c>
      <c r="K9" s="647" t="s">
        <v>619</v>
      </c>
      <c r="L9" s="1854"/>
      <c r="M9" s="647" t="s">
        <v>620</v>
      </c>
      <c r="N9" s="647" t="s">
        <v>621</v>
      </c>
      <c r="O9" s="647" t="s">
        <v>622</v>
      </c>
      <c r="P9" s="1854"/>
      <c r="Q9" s="1854"/>
      <c r="R9" s="1859"/>
      <c r="S9" s="1855"/>
      <c r="T9" s="1854"/>
      <c r="U9" s="1854"/>
    </row>
    <row r="10" spans="1:21" ht="12.75">
      <c r="A10" s="649"/>
      <c r="B10" s="650" t="s">
        <v>595</v>
      </c>
      <c r="C10" s="651">
        <v>1</v>
      </c>
      <c r="D10" s="651">
        <v>2</v>
      </c>
      <c r="E10" s="651">
        <v>3</v>
      </c>
      <c r="F10" s="652">
        <v>4</v>
      </c>
      <c r="G10" s="653">
        <v>5</v>
      </c>
      <c r="H10" s="652">
        <v>6</v>
      </c>
      <c r="I10" s="653">
        <v>7</v>
      </c>
      <c r="J10" s="652">
        <v>8</v>
      </c>
      <c r="K10" s="653">
        <v>9</v>
      </c>
      <c r="L10" s="652">
        <v>10</v>
      </c>
      <c r="M10" s="653">
        <v>11</v>
      </c>
      <c r="N10" s="652">
        <v>12</v>
      </c>
      <c r="O10" s="653">
        <v>13</v>
      </c>
      <c r="P10" s="652">
        <v>14</v>
      </c>
      <c r="Q10" s="653">
        <v>15</v>
      </c>
      <c r="R10" s="652">
        <v>16</v>
      </c>
      <c r="S10" s="653">
        <v>17</v>
      </c>
      <c r="T10" s="652">
        <v>18</v>
      </c>
      <c r="U10" s="653">
        <v>19</v>
      </c>
    </row>
    <row r="11" spans="1:21" s="1034" customFormat="1" ht="15.75" customHeight="1">
      <c r="A11" s="1857" t="s">
        <v>37</v>
      </c>
      <c r="B11" s="1858"/>
      <c r="C11" s="1033">
        <v>0</v>
      </c>
      <c r="D11" s="1033">
        <v>0</v>
      </c>
      <c r="E11" s="1033">
        <v>0</v>
      </c>
      <c r="F11" s="1033">
        <v>0</v>
      </c>
      <c r="G11" s="1033">
        <v>0</v>
      </c>
      <c r="H11" s="1033">
        <v>0</v>
      </c>
      <c r="I11" s="1033">
        <v>0</v>
      </c>
      <c r="J11" s="1033">
        <v>0</v>
      </c>
      <c r="K11" s="1033">
        <v>0</v>
      </c>
      <c r="L11" s="1033">
        <v>0</v>
      </c>
      <c r="M11" s="1033">
        <v>0</v>
      </c>
      <c r="N11" s="1033">
        <v>0</v>
      </c>
      <c r="O11" s="1033">
        <v>0</v>
      </c>
      <c r="P11" s="1033">
        <v>0</v>
      </c>
      <c r="Q11" s="1033">
        <v>0</v>
      </c>
      <c r="R11" s="1033">
        <v>0</v>
      </c>
      <c r="S11" s="1033">
        <v>0</v>
      </c>
      <c r="T11" s="1033">
        <v>0</v>
      </c>
      <c r="U11" s="1033">
        <v>0</v>
      </c>
    </row>
    <row r="12" spans="1:21" s="1041" customFormat="1" ht="22.5" customHeight="1">
      <c r="A12" s="1038" t="s">
        <v>0</v>
      </c>
      <c r="B12" s="1039" t="s">
        <v>226</v>
      </c>
      <c r="C12" s="1040">
        <v>0</v>
      </c>
      <c r="D12" s="1040">
        <v>0</v>
      </c>
      <c r="E12" s="1040">
        <v>0</v>
      </c>
      <c r="F12" s="1040">
        <v>0</v>
      </c>
      <c r="G12" s="1040">
        <v>0</v>
      </c>
      <c r="H12" s="1040">
        <v>0</v>
      </c>
      <c r="I12" s="1040">
        <v>0</v>
      </c>
      <c r="J12" s="1040">
        <v>0</v>
      </c>
      <c r="K12" s="1040">
        <v>0</v>
      </c>
      <c r="L12" s="1040">
        <v>0</v>
      </c>
      <c r="M12" s="1040">
        <v>0</v>
      </c>
      <c r="N12" s="1040">
        <v>0</v>
      </c>
      <c r="O12" s="1040">
        <v>0</v>
      </c>
      <c r="P12" s="1040">
        <v>0</v>
      </c>
      <c r="Q12" s="1040">
        <v>0</v>
      </c>
      <c r="R12" s="1040">
        <v>0</v>
      </c>
      <c r="S12" s="1040">
        <v>0</v>
      </c>
      <c r="T12" s="1040">
        <v>0</v>
      </c>
      <c r="U12" s="1040">
        <v>0</v>
      </c>
    </row>
    <row r="13" spans="1:21" s="1047" customFormat="1" ht="22.5" customHeight="1">
      <c r="A13" s="1043" t="s">
        <v>1</v>
      </c>
      <c r="B13" s="1044" t="s">
        <v>18</v>
      </c>
      <c r="C13" s="1045">
        <v>0</v>
      </c>
      <c r="D13" s="1046">
        <v>0</v>
      </c>
      <c r="E13" s="1046">
        <v>0</v>
      </c>
      <c r="F13" s="1046">
        <v>0</v>
      </c>
      <c r="G13" s="1046">
        <v>0</v>
      </c>
      <c r="H13" s="1046">
        <v>0</v>
      </c>
      <c r="I13" s="1046">
        <v>0</v>
      </c>
      <c r="J13" s="1046">
        <v>0</v>
      </c>
      <c r="K13" s="1046">
        <v>0</v>
      </c>
      <c r="L13" s="1046">
        <v>0</v>
      </c>
      <c r="M13" s="1046">
        <v>0</v>
      </c>
      <c r="N13" s="1046">
        <v>0</v>
      </c>
      <c r="O13" s="1046">
        <v>0</v>
      </c>
      <c r="P13" s="1046">
        <v>0</v>
      </c>
      <c r="Q13" s="1046">
        <v>0</v>
      </c>
      <c r="R13" s="1046">
        <v>0</v>
      </c>
      <c r="S13" s="1046">
        <v>0</v>
      </c>
      <c r="T13" s="1046">
        <v>0</v>
      </c>
      <c r="U13" s="1046">
        <v>0</v>
      </c>
    </row>
    <row r="14" spans="1:21" s="648" customFormat="1" ht="22.5" customHeight="1">
      <c r="A14" s="659">
        <v>1</v>
      </c>
      <c r="B14" s="816" t="s">
        <v>709</v>
      </c>
      <c r="C14" s="759">
        <v>0</v>
      </c>
      <c r="D14" s="760"/>
      <c r="E14" s="760"/>
      <c r="F14" s="759"/>
      <c r="G14" s="760"/>
      <c r="H14" s="760"/>
      <c r="I14" s="759"/>
      <c r="J14" s="760"/>
      <c r="K14" s="760"/>
      <c r="L14" s="759"/>
      <c r="M14" s="760"/>
      <c r="N14" s="760"/>
      <c r="O14" s="760"/>
      <c r="P14" s="759"/>
      <c r="Q14" s="760"/>
      <c r="R14" s="760"/>
      <c r="S14" s="760"/>
      <c r="T14" s="760"/>
      <c r="U14" s="760"/>
    </row>
    <row r="15" spans="1:21" s="648" customFormat="1" ht="22.5" customHeight="1">
      <c r="A15" s="659">
        <v>2</v>
      </c>
      <c r="B15" s="816" t="s">
        <v>710</v>
      </c>
      <c r="C15" s="759">
        <v>0</v>
      </c>
      <c r="D15" s="760"/>
      <c r="E15" s="760"/>
      <c r="F15" s="759"/>
      <c r="G15" s="760"/>
      <c r="H15" s="760"/>
      <c r="I15" s="759"/>
      <c r="J15" s="760"/>
      <c r="K15" s="760"/>
      <c r="L15" s="759"/>
      <c r="M15" s="760"/>
      <c r="N15" s="760"/>
      <c r="O15" s="760"/>
      <c r="P15" s="759"/>
      <c r="Q15" s="760"/>
      <c r="R15" s="760"/>
      <c r="S15" s="760"/>
      <c r="T15" s="760"/>
      <c r="U15" s="760"/>
    </row>
    <row r="16" spans="1:21" s="648" customFormat="1" ht="22.5" customHeight="1">
      <c r="A16" s="659">
        <v>3</v>
      </c>
      <c r="B16" s="816" t="s">
        <v>711</v>
      </c>
      <c r="C16" s="759">
        <v>0</v>
      </c>
      <c r="D16" s="760"/>
      <c r="E16" s="760"/>
      <c r="F16" s="759"/>
      <c r="G16" s="760"/>
      <c r="H16" s="760"/>
      <c r="I16" s="759"/>
      <c r="J16" s="760"/>
      <c r="K16" s="760"/>
      <c r="L16" s="759"/>
      <c r="M16" s="760"/>
      <c r="N16" s="760"/>
      <c r="O16" s="760"/>
      <c r="P16" s="759"/>
      <c r="Q16" s="760"/>
      <c r="R16" s="760"/>
      <c r="S16" s="760"/>
      <c r="T16" s="760"/>
      <c r="U16" s="760"/>
    </row>
    <row r="17" spans="1:21" s="648" customFormat="1" ht="22.5" customHeight="1">
      <c r="A17" s="659">
        <v>4</v>
      </c>
      <c r="B17" s="816" t="s">
        <v>712</v>
      </c>
      <c r="C17" s="759">
        <v>0</v>
      </c>
      <c r="D17" s="760"/>
      <c r="E17" s="760"/>
      <c r="F17" s="759"/>
      <c r="G17" s="760"/>
      <c r="H17" s="760"/>
      <c r="I17" s="759"/>
      <c r="J17" s="760"/>
      <c r="K17" s="760"/>
      <c r="L17" s="759"/>
      <c r="M17" s="760"/>
      <c r="N17" s="760"/>
      <c r="O17" s="760"/>
      <c r="P17" s="759"/>
      <c r="Q17" s="760"/>
      <c r="R17" s="760"/>
      <c r="S17" s="760"/>
      <c r="T17" s="760"/>
      <c r="U17" s="760"/>
    </row>
    <row r="18" spans="1:21" s="648" customFormat="1" ht="22.5" customHeight="1">
      <c r="A18" s="659">
        <v>5</v>
      </c>
      <c r="B18" s="816" t="s">
        <v>713</v>
      </c>
      <c r="C18" s="759">
        <v>0</v>
      </c>
      <c r="D18" s="760"/>
      <c r="E18" s="760"/>
      <c r="F18" s="759"/>
      <c r="G18" s="760"/>
      <c r="H18" s="760"/>
      <c r="I18" s="759"/>
      <c r="J18" s="760"/>
      <c r="K18" s="760"/>
      <c r="L18" s="759"/>
      <c r="M18" s="760"/>
      <c r="N18" s="760"/>
      <c r="O18" s="760"/>
      <c r="P18" s="759"/>
      <c r="Q18" s="760"/>
      <c r="R18" s="760"/>
      <c r="S18" s="760"/>
      <c r="T18" s="760"/>
      <c r="U18" s="760"/>
    </row>
    <row r="19" spans="1:21" s="648" customFormat="1" ht="22.5" customHeight="1">
      <c r="A19" s="659">
        <v>6</v>
      </c>
      <c r="B19" s="816" t="s">
        <v>714</v>
      </c>
      <c r="C19" s="759">
        <v>0</v>
      </c>
      <c r="D19" s="760"/>
      <c r="E19" s="760"/>
      <c r="F19" s="759"/>
      <c r="G19" s="760"/>
      <c r="H19" s="760"/>
      <c r="I19" s="759"/>
      <c r="J19" s="760"/>
      <c r="K19" s="760"/>
      <c r="L19" s="759"/>
      <c r="M19" s="760"/>
      <c r="N19" s="760"/>
      <c r="O19" s="760"/>
      <c r="P19" s="759"/>
      <c r="Q19" s="760"/>
      <c r="R19" s="760"/>
      <c r="S19" s="760"/>
      <c r="T19" s="760"/>
      <c r="U19" s="760"/>
    </row>
    <row r="20" spans="1:21" s="648" customFormat="1" ht="22.5" customHeight="1">
      <c r="A20" s="659">
        <v>7</v>
      </c>
      <c r="B20" s="816" t="s">
        <v>715</v>
      </c>
      <c r="C20" s="759">
        <v>0</v>
      </c>
      <c r="D20" s="760"/>
      <c r="E20" s="760"/>
      <c r="F20" s="759"/>
      <c r="G20" s="760"/>
      <c r="H20" s="760"/>
      <c r="I20" s="759"/>
      <c r="J20" s="760"/>
      <c r="K20" s="760"/>
      <c r="L20" s="759"/>
      <c r="M20" s="760"/>
      <c r="N20" s="760"/>
      <c r="O20" s="760"/>
      <c r="P20" s="759"/>
      <c r="Q20" s="760"/>
      <c r="R20" s="760"/>
      <c r="S20" s="760"/>
      <c r="T20" s="760"/>
      <c r="U20" s="760"/>
    </row>
    <row r="21" spans="1:21" ht="26.25" customHeight="1">
      <c r="A21" s="660"/>
      <c r="B21" s="1856"/>
      <c r="C21" s="1856"/>
      <c r="D21" s="1856"/>
      <c r="E21" s="1856"/>
      <c r="F21" s="1856"/>
      <c r="G21" s="1856"/>
      <c r="H21" s="661"/>
      <c r="I21" s="661"/>
      <c r="J21" s="661"/>
      <c r="K21" s="661"/>
      <c r="L21" s="661"/>
      <c r="M21" s="662"/>
      <c r="N21" s="1834" t="str">
        <f>'Thong tin'!B8</f>
        <v>Tuyên Quang, ngày 05 tháng 04 năm 2018</v>
      </c>
      <c r="O21" s="1834"/>
      <c r="P21" s="1834"/>
      <c r="Q21" s="1834"/>
      <c r="R21" s="1834"/>
      <c r="S21" s="1834"/>
      <c r="T21" s="1834"/>
      <c r="U21" s="1834"/>
    </row>
    <row r="22" spans="1:21" ht="18.75" customHeight="1">
      <c r="A22" s="660"/>
      <c r="B22" s="1853" t="s">
        <v>623</v>
      </c>
      <c r="C22" s="1853"/>
      <c r="D22" s="1853"/>
      <c r="E22" s="1853"/>
      <c r="F22" s="1853"/>
      <c r="G22" s="663"/>
      <c r="H22" s="664"/>
      <c r="I22" s="664"/>
      <c r="J22" s="664"/>
      <c r="K22" s="664"/>
      <c r="L22" s="664"/>
      <c r="M22" s="665"/>
      <c r="N22" s="1836" t="str">
        <f>'Thong tin'!B7</f>
        <v>CỤC TRƯỞNG</v>
      </c>
      <c r="O22" s="1827"/>
      <c r="P22" s="1827"/>
      <c r="Q22" s="1827"/>
      <c r="R22" s="1827"/>
      <c r="S22" s="1827"/>
      <c r="T22" s="1827"/>
      <c r="U22" s="1827"/>
    </row>
    <row r="23" spans="1:21" ht="18.75" customHeight="1">
      <c r="A23" s="668"/>
      <c r="B23" s="1849"/>
      <c r="C23" s="1849"/>
      <c r="D23" s="1849"/>
      <c r="E23" s="1849"/>
      <c r="F23" s="1849"/>
      <c r="G23" s="669"/>
      <c r="H23" s="669"/>
      <c r="I23" s="669"/>
      <c r="J23" s="669"/>
      <c r="K23" s="669"/>
      <c r="L23" s="669"/>
      <c r="M23" s="669"/>
      <c r="N23" s="1850"/>
      <c r="O23" s="1850"/>
      <c r="P23" s="1850"/>
      <c r="Q23" s="1850"/>
      <c r="R23" s="1850"/>
      <c r="S23" s="1850"/>
      <c r="T23" s="1850"/>
      <c r="U23" s="1850"/>
    </row>
    <row r="24" spans="2:21" ht="31.5" customHeight="1">
      <c r="B24" s="1851"/>
      <c r="C24" s="1851"/>
      <c r="D24" s="1851"/>
      <c r="E24" s="1851"/>
      <c r="F24" s="1851"/>
      <c r="G24" s="665"/>
      <c r="H24" s="665"/>
      <c r="I24" s="665"/>
      <c r="J24" s="665"/>
      <c r="K24" s="665"/>
      <c r="L24" s="665"/>
      <c r="M24" s="665"/>
      <c r="N24" s="665"/>
      <c r="O24" s="665"/>
      <c r="P24" s="1851"/>
      <c r="Q24" s="1851"/>
      <c r="R24" s="1851"/>
      <c r="S24" s="1851"/>
      <c r="T24" s="665"/>
      <c r="U24" s="665"/>
    </row>
    <row r="25" spans="2:21" ht="18">
      <c r="B25" s="665"/>
      <c r="C25" s="665"/>
      <c r="D25" s="665"/>
      <c r="E25" s="665"/>
      <c r="F25" s="665"/>
      <c r="G25" s="665"/>
      <c r="H25" s="665"/>
      <c r="I25" s="665"/>
      <c r="J25" s="665"/>
      <c r="K25" s="665"/>
      <c r="L25" s="665"/>
      <c r="M25" s="665"/>
      <c r="N25" s="665"/>
      <c r="O25" s="665"/>
      <c r="P25" s="665"/>
      <c r="Q25" s="665"/>
      <c r="R25" s="665"/>
      <c r="S25" s="665"/>
      <c r="T25" s="665"/>
      <c r="U25" s="665"/>
    </row>
    <row r="26" spans="2:21" ht="18">
      <c r="B26" s="665"/>
      <c r="C26" s="665"/>
      <c r="D26" s="665"/>
      <c r="E26" s="665"/>
      <c r="F26" s="665"/>
      <c r="G26" s="665"/>
      <c r="H26" s="665"/>
      <c r="I26" s="665"/>
      <c r="J26" s="665"/>
      <c r="K26" s="665"/>
      <c r="L26" s="665"/>
      <c r="M26" s="665"/>
      <c r="N26" s="665"/>
      <c r="O26" s="665"/>
      <c r="P26" s="665"/>
      <c r="Q26" s="665"/>
      <c r="R26" s="665"/>
      <c r="S26" s="665"/>
      <c r="T26" s="665"/>
      <c r="U26" s="665"/>
    </row>
    <row r="27" spans="2:21" ht="18.75">
      <c r="B27" s="1789" t="str">
        <f>'Thong tin'!B5</f>
        <v>Duy Thị Thúy</v>
      </c>
      <c r="C27" s="1789"/>
      <c r="D27" s="1789"/>
      <c r="E27" s="1789"/>
      <c r="F27" s="1789"/>
      <c r="G27" s="1789"/>
      <c r="H27" s="670"/>
      <c r="I27" s="623"/>
      <c r="J27" s="623"/>
      <c r="K27" s="623"/>
      <c r="L27" s="623"/>
      <c r="M27" s="623"/>
      <c r="N27" s="1731" t="str">
        <f>'Thong tin'!B6</f>
        <v>Nguyễn Tuyên </v>
      </c>
      <c r="O27" s="1731"/>
      <c r="P27" s="1731"/>
      <c r="Q27" s="1731"/>
      <c r="R27" s="1731"/>
      <c r="S27" s="1731"/>
      <c r="T27" s="1731"/>
      <c r="U27" s="1731"/>
    </row>
    <row r="28" ht="12.75" hidden="1"/>
    <row r="29" spans="1:20" ht="13.5" hidden="1">
      <c r="A29" s="671" t="s">
        <v>224</v>
      </c>
      <c r="O29" s="1852"/>
      <c r="P29" s="1852"/>
      <c r="Q29" s="1852"/>
      <c r="R29" s="1852"/>
      <c r="S29" s="1852"/>
      <c r="T29" s="1852"/>
    </row>
    <row r="30" spans="2:14" ht="12.75" customHeight="1" hidden="1">
      <c r="B30" s="1848" t="s">
        <v>624</v>
      </c>
      <c r="C30" s="1848"/>
      <c r="D30" s="1848"/>
      <c r="E30" s="1848"/>
      <c r="F30" s="1848"/>
      <c r="G30" s="1848"/>
      <c r="H30" s="1848"/>
      <c r="I30" s="1848"/>
      <c r="J30" s="1848"/>
      <c r="K30" s="1848"/>
      <c r="L30" s="672"/>
      <c r="M30" s="672"/>
      <c r="N30" s="672"/>
    </row>
    <row r="31" spans="1:14" ht="12.75" customHeight="1" hidden="1">
      <c r="A31" s="672"/>
      <c r="B31" s="673" t="s">
        <v>625</v>
      </c>
      <c r="C31" s="672"/>
      <c r="D31" s="672"/>
      <c r="E31" s="672"/>
      <c r="F31" s="672"/>
      <c r="G31" s="672"/>
      <c r="H31" s="672"/>
      <c r="I31" s="672"/>
      <c r="J31" s="672"/>
      <c r="K31" s="672"/>
      <c r="L31" s="672"/>
      <c r="M31" s="672"/>
      <c r="N31" s="672"/>
    </row>
    <row r="32" spans="2:14" ht="12.75" customHeight="1" hidden="1">
      <c r="B32" s="674" t="s">
        <v>626</v>
      </c>
      <c r="C32" s="625"/>
      <c r="D32" s="625"/>
      <c r="E32" s="625"/>
      <c r="F32" s="625"/>
      <c r="G32" s="625"/>
      <c r="H32" s="625"/>
      <c r="I32" s="625"/>
      <c r="J32" s="625"/>
      <c r="K32" s="625"/>
      <c r="L32" s="625"/>
      <c r="M32" s="625"/>
      <c r="N32" s="625"/>
    </row>
  </sheetData>
  <sheetProtection/>
  <mergeCells count="44">
    <mergeCell ref="T7:T9"/>
    <mergeCell ref="P1:U1"/>
    <mergeCell ref="A2:E2"/>
    <mergeCell ref="A3:E3"/>
    <mergeCell ref="F3:N3"/>
    <mergeCell ref="A1:D1"/>
    <mergeCell ref="F1:N2"/>
    <mergeCell ref="P2:U2"/>
    <mergeCell ref="R7:R9"/>
    <mergeCell ref="P5:U5"/>
    <mergeCell ref="D4:O4"/>
    <mergeCell ref="A5:B9"/>
    <mergeCell ref="C5:E7"/>
    <mergeCell ref="F5:O5"/>
    <mergeCell ref="F8:F9"/>
    <mergeCell ref="G8:H8"/>
    <mergeCell ref="A11:B11"/>
    <mergeCell ref="C8:C9"/>
    <mergeCell ref="D8:E8"/>
    <mergeCell ref="I8:I9"/>
    <mergeCell ref="Q6:U6"/>
    <mergeCell ref="I7:K7"/>
    <mergeCell ref="F6:H7"/>
    <mergeCell ref="I6:O6"/>
    <mergeCell ref="P6:P9"/>
    <mergeCell ref="J8:K8"/>
    <mergeCell ref="B22:F22"/>
    <mergeCell ref="N22:U22"/>
    <mergeCell ref="S7:S9"/>
    <mergeCell ref="Q7:Q9"/>
    <mergeCell ref="B21:G21"/>
    <mergeCell ref="N21:U21"/>
    <mergeCell ref="U7:U9"/>
    <mergeCell ref="L8:L9"/>
    <mergeCell ref="M8:O8"/>
    <mergeCell ref="L7:O7"/>
    <mergeCell ref="B30:K30"/>
    <mergeCell ref="B23:F23"/>
    <mergeCell ref="N23:U23"/>
    <mergeCell ref="B24:F24"/>
    <mergeCell ref="P24:S24"/>
    <mergeCell ref="B27:G27"/>
    <mergeCell ref="N27:U27"/>
    <mergeCell ref="O29:T29"/>
  </mergeCells>
  <printOptions horizontalCentered="1"/>
  <pageMargins left="0.33" right="0.35" top="0.29" bottom="0.21" header="0.13" footer="0.15"/>
  <pageSetup horizontalDpi="600" verticalDpi="600" orientation="landscape" paperSize="9" scale="85"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3"/>
  <sheetViews>
    <sheetView showZeros="0" zoomScalePageLayoutView="0" workbookViewId="0" topLeftCell="A7">
      <selection activeCell="C12" sqref="C12:S12"/>
    </sheetView>
  </sheetViews>
  <sheetFormatPr defaultColWidth="9.00390625" defaultRowHeight="15.75"/>
  <cols>
    <col min="1" max="1" width="3.625" style="625" customWidth="1"/>
    <col min="2" max="2" width="25.125" style="625" customWidth="1"/>
    <col min="3" max="3" width="7.125" style="625" customWidth="1"/>
    <col min="4" max="4" width="6.875" style="625" customWidth="1"/>
    <col min="5" max="8" width="5.00390625" style="625" customWidth="1"/>
    <col min="9" max="9" width="4.00390625" style="625" customWidth="1"/>
    <col min="10" max="10" width="5.00390625" style="625" customWidth="1"/>
    <col min="11" max="11" width="5.75390625" style="625" customWidth="1"/>
    <col min="12" max="12" width="5.375" style="625" customWidth="1"/>
    <col min="13" max="13" width="5.00390625" style="625" customWidth="1"/>
    <col min="14" max="14" width="4.25390625" style="625" customWidth="1"/>
    <col min="15" max="15" width="5.00390625" style="625" customWidth="1"/>
    <col min="16" max="16" width="5.75390625" style="625" customWidth="1"/>
    <col min="17" max="17" width="5.00390625" style="625" customWidth="1"/>
    <col min="18" max="18" width="6.125" style="625" customWidth="1"/>
    <col min="19" max="19" width="5.875" style="625" customWidth="1"/>
    <col min="20" max="20" width="7.25390625" style="625" customWidth="1"/>
    <col min="21" max="21" width="0" style="625" hidden="1" customWidth="1"/>
    <col min="22" max="16384" width="9.00390625" style="625" customWidth="1"/>
  </cols>
  <sheetData>
    <row r="1" spans="1:21" ht="16.5" customHeight="1">
      <c r="A1" s="1843" t="s">
        <v>227</v>
      </c>
      <c r="B1" s="1843"/>
      <c r="C1" s="1843"/>
      <c r="D1" s="1844" t="s">
        <v>419</v>
      </c>
      <c r="E1" s="1888"/>
      <c r="F1" s="1888"/>
      <c r="G1" s="1888"/>
      <c r="H1" s="1888"/>
      <c r="I1" s="1888"/>
      <c r="J1" s="1888"/>
      <c r="K1" s="1888"/>
      <c r="L1" s="1888"/>
      <c r="M1" s="1888"/>
      <c r="N1" s="1888"/>
      <c r="O1" s="675"/>
      <c r="P1" s="752" t="s">
        <v>646</v>
      </c>
      <c r="Q1" s="602"/>
      <c r="R1" s="602"/>
      <c r="S1" s="602"/>
      <c r="T1" s="602"/>
      <c r="U1" s="675"/>
    </row>
    <row r="2" spans="1:21" ht="16.5" customHeight="1">
      <c r="A2" s="1889" t="s">
        <v>721</v>
      </c>
      <c r="B2" s="1889"/>
      <c r="C2" s="1889"/>
      <c r="D2" s="1888"/>
      <c r="E2" s="1888"/>
      <c r="F2" s="1888"/>
      <c r="G2" s="1888"/>
      <c r="H2" s="1888"/>
      <c r="I2" s="1888"/>
      <c r="J2" s="1888"/>
      <c r="K2" s="1888"/>
      <c r="L2" s="1888"/>
      <c r="M2" s="1888"/>
      <c r="N2" s="1888"/>
      <c r="O2" s="675"/>
      <c r="P2" s="1900" t="str">
        <f>'Thong tin'!B4</f>
        <v>Cục THADS tỉnh Tuyên Quang</v>
      </c>
      <c r="Q2" s="1900"/>
      <c r="R2" s="1900"/>
      <c r="S2" s="1900"/>
      <c r="T2" s="1900"/>
      <c r="U2" s="675"/>
    </row>
    <row r="3" spans="1:21" ht="16.5" customHeight="1">
      <c r="A3" s="1845" t="s">
        <v>722</v>
      </c>
      <c r="B3" s="1845"/>
      <c r="C3" s="1845"/>
      <c r="D3" s="1846" t="str">
        <f>'Thong tin'!B3</f>
        <v>06 tháng / năm 2018</v>
      </c>
      <c r="E3" s="1846"/>
      <c r="F3" s="1846"/>
      <c r="G3" s="1846"/>
      <c r="H3" s="1846"/>
      <c r="I3" s="1846"/>
      <c r="J3" s="1846"/>
      <c r="K3" s="1846"/>
      <c r="L3" s="1846"/>
      <c r="M3" s="1846"/>
      <c r="N3" s="1846"/>
      <c r="O3" s="675"/>
      <c r="P3" s="750" t="s">
        <v>468</v>
      </c>
      <c r="Q3" s="761"/>
      <c r="R3" s="761"/>
      <c r="S3" s="761"/>
      <c r="T3" s="761"/>
      <c r="U3" s="675"/>
    </row>
    <row r="4" spans="1:21" ht="16.5" customHeight="1">
      <c r="A4" s="1901" t="s">
        <v>362</v>
      </c>
      <c r="B4" s="1901"/>
      <c r="C4" s="1901"/>
      <c r="D4" s="1902"/>
      <c r="E4" s="1902"/>
      <c r="F4" s="1902"/>
      <c r="G4" s="1902"/>
      <c r="H4" s="1902"/>
      <c r="I4" s="1902"/>
      <c r="J4" s="1902"/>
      <c r="K4" s="1902"/>
      <c r="L4" s="1902"/>
      <c r="M4" s="1902"/>
      <c r="N4" s="1902"/>
      <c r="O4" s="675"/>
      <c r="P4" s="751" t="s">
        <v>401</v>
      </c>
      <c r="Q4" s="761"/>
      <c r="R4" s="761"/>
      <c r="S4" s="761"/>
      <c r="T4" s="761"/>
      <c r="U4" s="675"/>
    </row>
    <row r="5" spans="12:21" ht="16.5" customHeight="1">
      <c r="L5" s="676"/>
      <c r="M5" s="676"/>
      <c r="N5" s="676"/>
      <c r="O5" s="609"/>
      <c r="P5" s="608" t="s">
        <v>424</v>
      </c>
      <c r="Q5" s="609"/>
      <c r="R5" s="609"/>
      <c r="S5" s="609"/>
      <c r="T5" s="609"/>
      <c r="U5" s="602"/>
    </row>
    <row r="6" spans="1:21" ht="15.75" customHeight="1">
      <c r="A6" s="1894" t="s">
        <v>71</v>
      </c>
      <c r="B6" s="1895"/>
      <c r="C6" s="1878" t="s">
        <v>753</v>
      </c>
      <c r="D6" s="1893" t="s">
        <v>229</v>
      </c>
      <c r="E6" s="1891"/>
      <c r="F6" s="1891"/>
      <c r="G6" s="1891"/>
      <c r="H6" s="1891"/>
      <c r="I6" s="1891"/>
      <c r="J6" s="1891"/>
      <c r="K6" s="1891"/>
      <c r="L6" s="1891"/>
      <c r="M6" s="1891"/>
      <c r="N6" s="1891"/>
      <c r="O6" s="1891"/>
      <c r="P6" s="1891"/>
      <c r="Q6" s="1891"/>
      <c r="R6" s="1891"/>
      <c r="S6" s="1892"/>
      <c r="T6" s="1880" t="s">
        <v>754</v>
      </c>
      <c r="U6" s="678"/>
    </row>
    <row r="7" spans="1:20" s="679" customFormat="1" ht="12.75" customHeight="1">
      <c r="A7" s="1896"/>
      <c r="B7" s="1897"/>
      <c r="C7" s="1887"/>
      <c r="D7" s="1878" t="s">
        <v>755</v>
      </c>
      <c r="E7" s="1893" t="s">
        <v>7</v>
      </c>
      <c r="F7" s="1891"/>
      <c r="G7" s="1891"/>
      <c r="H7" s="1891"/>
      <c r="I7" s="1891"/>
      <c r="J7" s="1891"/>
      <c r="K7" s="1891"/>
      <c r="L7" s="1891"/>
      <c r="M7" s="1891"/>
      <c r="N7" s="1891"/>
      <c r="O7" s="1891"/>
      <c r="P7" s="1891"/>
      <c r="Q7" s="1891"/>
      <c r="R7" s="1891"/>
      <c r="S7" s="1892"/>
      <c r="T7" s="1881"/>
    </row>
    <row r="8" spans="1:21" s="679" customFormat="1" ht="43.5" customHeight="1">
      <c r="A8" s="1896"/>
      <c r="B8" s="1897"/>
      <c r="C8" s="1887"/>
      <c r="D8" s="1887"/>
      <c r="E8" s="1890" t="s">
        <v>756</v>
      </c>
      <c r="F8" s="1891"/>
      <c r="G8" s="1892"/>
      <c r="H8" s="1890" t="s">
        <v>757</v>
      </c>
      <c r="I8" s="1891"/>
      <c r="J8" s="1892"/>
      <c r="K8" s="1890" t="s">
        <v>758</v>
      </c>
      <c r="L8" s="1892"/>
      <c r="M8" s="1905" t="s">
        <v>759</v>
      </c>
      <c r="N8" s="1906"/>
      <c r="O8" s="1907"/>
      <c r="P8" s="1880" t="s">
        <v>760</v>
      </c>
      <c r="Q8" s="1878" t="s">
        <v>761</v>
      </c>
      <c r="R8" s="1878" t="s">
        <v>762</v>
      </c>
      <c r="S8" s="1878" t="s">
        <v>763</v>
      </c>
      <c r="T8" s="1881"/>
      <c r="U8" s="1903" t="s">
        <v>425</v>
      </c>
    </row>
    <row r="9" spans="1:21" s="679" customFormat="1" ht="44.25" customHeight="1">
      <c r="A9" s="1898"/>
      <c r="B9" s="1899"/>
      <c r="C9" s="1879"/>
      <c r="D9" s="1879"/>
      <c r="E9" s="889" t="s">
        <v>764</v>
      </c>
      <c r="F9" s="889" t="s">
        <v>765</v>
      </c>
      <c r="G9" s="889" t="s">
        <v>766</v>
      </c>
      <c r="H9" s="889" t="s">
        <v>767</v>
      </c>
      <c r="I9" s="889" t="s">
        <v>768</v>
      </c>
      <c r="J9" s="889" t="s">
        <v>769</v>
      </c>
      <c r="K9" s="889" t="s">
        <v>765</v>
      </c>
      <c r="L9" s="889" t="s">
        <v>770</v>
      </c>
      <c r="M9" s="890" t="s">
        <v>245</v>
      </c>
      <c r="N9" s="891" t="s">
        <v>246</v>
      </c>
      <c r="O9" s="891" t="s">
        <v>272</v>
      </c>
      <c r="P9" s="1882"/>
      <c r="Q9" s="1879"/>
      <c r="R9" s="1879"/>
      <c r="S9" s="1879"/>
      <c r="T9" s="1882"/>
      <c r="U9" s="1904"/>
    </row>
    <row r="10" spans="1:21" s="682" customFormat="1" ht="15.75" customHeight="1">
      <c r="A10" s="1883" t="s">
        <v>6</v>
      </c>
      <c r="B10" s="1884"/>
      <c r="C10" s="892">
        <v>1</v>
      </c>
      <c r="D10" s="892">
        <v>2</v>
      </c>
      <c r="E10" s="892">
        <v>3</v>
      </c>
      <c r="F10" s="892">
        <v>4</v>
      </c>
      <c r="G10" s="892">
        <v>5</v>
      </c>
      <c r="H10" s="892">
        <v>6</v>
      </c>
      <c r="I10" s="892">
        <v>7</v>
      </c>
      <c r="J10" s="892">
        <v>8</v>
      </c>
      <c r="K10" s="892">
        <v>9</v>
      </c>
      <c r="L10" s="893">
        <v>10</v>
      </c>
      <c r="M10" s="893">
        <v>11</v>
      </c>
      <c r="N10" s="893">
        <v>12</v>
      </c>
      <c r="O10" s="893">
        <v>13</v>
      </c>
      <c r="P10" s="893">
        <v>14</v>
      </c>
      <c r="Q10" s="893">
        <v>15</v>
      </c>
      <c r="R10" s="893">
        <v>16</v>
      </c>
      <c r="S10" s="894">
        <v>17</v>
      </c>
      <c r="T10" s="894">
        <v>18</v>
      </c>
      <c r="U10" s="1904"/>
    </row>
    <row r="11" spans="1:21" s="1024" customFormat="1" ht="21" customHeight="1">
      <c r="A11" s="1885" t="s">
        <v>37</v>
      </c>
      <c r="B11" s="1886"/>
      <c r="C11" s="1138">
        <f>SUM(C12:C13)</f>
        <v>91</v>
      </c>
      <c r="D11" s="1138">
        <f aca="true" t="shared" si="0" ref="D11:O11">SUM(D12:D13)</f>
        <v>91</v>
      </c>
      <c r="E11" s="1138">
        <f t="shared" si="0"/>
        <v>1</v>
      </c>
      <c r="F11" s="1138">
        <f t="shared" si="0"/>
        <v>12</v>
      </c>
      <c r="G11" s="1138">
        <f t="shared" si="0"/>
        <v>31</v>
      </c>
      <c r="H11" s="1138">
        <f t="shared" si="0"/>
        <v>0</v>
      </c>
      <c r="I11" s="1138">
        <f t="shared" si="0"/>
        <v>0</v>
      </c>
      <c r="J11" s="1138">
        <f t="shared" si="0"/>
        <v>8</v>
      </c>
      <c r="K11" s="1138">
        <f t="shared" si="0"/>
        <v>7</v>
      </c>
      <c r="L11" s="1138">
        <f t="shared" si="0"/>
        <v>9</v>
      </c>
      <c r="M11" s="1138">
        <f t="shared" si="0"/>
        <v>0</v>
      </c>
      <c r="N11" s="1138">
        <f t="shared" si="0"/>
        <v>0</v>
      </c>
      <c r="O11" s="1138">
        <f t="shared" si="0"/>
        <v>3</v>
      </c>
      <c r="P11" s="1138">
        <f>SUM(P12:P13)</f>
        <v>2</v>
      </c>
      <c r="Q11" s="1138">
        <f>SUM(Q12:Q13)</f>
        <v>11</v>
      </c>
      <c r="R11" s="1138">
        <f>SUM(R12:R13)</f>
        <v>0</v>
      </c>
      <c r="S11" s="1138">
        <f>SUM(S12:S13)</f>
        <v>7</v>
      </c>
      <c r="T11" s="1138">
        <f>SUM(T12:T13)</f>
        <v>0</v>
      </c>
      <c r="U11" s="1023">
        <f>D11-'[10]Báo cáo chất lượng CB Mẫu 14'!C14</f>
        <v>-31</v>
      </c>
    </row>
    <row r="12" spans="1:21" s="1028" customFormat="1" ht="21" customHeight="1">
      <c r="A12" s="1025" t="s">
        <v>0</v>
      </c>
      <c r="B12" s="1026" t="s">
        <v>705</v>
      </c>
      <c r="C12" s="1208">
        <v>25</v>
      </c>
      <c r="D12" s="1208">
        <v>25</v>
      </c>
      <c r="E12" s="1208">
        <v>1</v>
      </c>
      <c r="F12" s="1208">
        <v>7</v>
      </c>
      <c r="G12" s="1208">
        <v>3</v>
      </c>
      <c r="H12" s="1208"/>
      <c r="I12" s="1208"/>
      <c r="J12" s="1208">
        <v>3</v>
      </c>
      <c r="K12" s="1208">
        <v>1</v>
      </c>
      <c r="L12" s="1208">
        <v>4</v>
      </c>
      <c r="M12" s="1208"/>
      <c r="N12" s="1208"/>
      <c r="O12" s="1208">
        <v>1</v>
      </c>
      <c r="P12" s="1208">
        <v>1</v>
      </c>
      <c r="Q12" s="1208">
        <v>2</v>
      </c>
      <c r="R12" s="1208"/>
      <c r="S12" s="1208">
        <v>2</v>
      </c>
      <c r="T12" s="891"/>
      <c r="U12" s="1027">
        <f>D12-'[10]Báo cáo chất lượng CB Mẫu 14'!C15</f>
        <v>0</v>
      </c>
    </row>
    <row r="13" spans="1:21" s="1032" customFormat="1" ht="21" customHeight="1">
      <c r="A13" s="1029" t="s">
        <v>1</v>
      </c>
      <c r="B13" s="1030" t="s">
        <v>18</v>
      </c>
      <c r="C13" s="1138">
        <f>SUM(C14:C20)</f>
        <v>66</v>
      </c>
      <c r="D13" s="1138">
        <f aca="true" t="shared" si="1" ref="D13:T13">SUM(D14:D20)</f>
        <v>66</v>
      </c>
      <c r="E13" s="1138">
        <f t="shared" si="1"/>
        <v>0</v>
      </c>
      <c r="F13" s="1138">
        <f t="shared" si="1"/>
        <v>5</v>
      </c>
      <c r="G13" s="1138">
        <f t="shared" si="1"/>
        <v>28</v>
      </c>
      <c r="H13" s="1138">
        <f t="shared" si="1"/>
        <v>0</v>
      </c>
      <c r="I13" s="1138">
        <f t="shared" si="1"/>
        <v>0</v>
      </c>
      <c r="J13" s="1138">
        <f t="shared" si="1"/>
        <v>5</v>
      </c>
      <c r="K13" s="1138">
        <f t="shared" si="1"/>
        <v>6</v>
      </c>
      <c r="L13" s="1138">
        <f t="shared" si="1"/>
        <v>5</v>
      </c>
      <c r="M13" s="1138">
        <f t="shared" si="1"/>
        <v>0</v>
      </c>
      <c r="N13" s="1138">
        <f t="shared" si="1"/>
        <v>0</v>
      </c>
      <c r="O13" s="1138">
        <f t="shared" si="1"/>
        <v>2</v>
      </c>
      <c r="P13" s="1138">
        <f t="shared" si="1"/>
        <v>1</v>
      </c>
      <c r="Q13" s="1138">
        <f t="shared" si="1"/>
        <v>9</v>
      </c>
      <c r="R13" s="1138">
        <f t="shared" si="1"/>
        <v>0</v>
      </c>
      <c r="S13" s="1138">
        <f t="shared" si="1"/>
        <v>5</v>
      </c>
      <c r="T13" s="1138">
        <f t="shared" si="1"/>
        <v>0</v>
      </c>
      <c r="U13" s="1031">
        <f>D13-'[10]Báo cáo chất lượng CB Mẫu 14'!C16</f>
        <v>-31</v>
      </c>
    </row>
    <row r="14" spans="1:21" s="682" customFormat="1" ht="21" customHeight="1">
      <c r="A14" s="891">
        <v>1</v>
      </c>
      <c r="B14" s="895" t="s">
        <v>771</v>
      </c>
      <c r="C14" s="891">
        <v>14</v>
      </c>
      <c r="D14" s="891">
        <v>14</v>
      </c>
      <c r="E14" s="889"/>
      <c r="F14" s="891">
        <v>1</v>
      </c>
      <c r="G14" s="891">
        <v>7</v>
      </c>
      <c r="H14" s="891"/>
      <c r="I14" s="891"/>
      <c r="J14" s="891">
        <v>1</v>
      </c>
      <c r="K14" s="891">
        <v>1</v>
      </c>
      <c r="L14" s="891">
        <v>1</v>
      </c>
      <c r="M14" s="891"/>
      <c r="N14" s="891"/>
      <c r="O14" s="891"/>
      <c r="P14" s="891"/>
      <c r="Q14" s="891">
        <v>2</v>
      </c>
      <c r="R14" s="891"/>
      <c r="S14" s="891">
        <v>1</v>
      </c>
      <c r="T14" s="891"/>
      <c r="U14" s="683">
        <f>D14-'[10]Báo cáo chất lượng CB Mẫu 14'!C17</f>
        <v>6</v>
      </c>
    </row>
    <row r="15" spans="1:21" s="682" customFormat="1" ht="21" customHeight="1">
      <c r="A15" s="891">
        <v>2</v>
      </c>
      <c r="B15" s="895" t="s">
        <v>772</v>
      </c>
      <c r="C15" s="891">
        <v>12</v>
      </c>
      <c r="D15" s="891">
        <v>12</v>
      </c>
      <c r="E15" s="891"/>
      <c r="F15" s="891">
        <v>2</v>
      </c>
      <c r="G15" s="891">
        <v>4</v>
      </c>
      <c r="H15" s="891"/>
      <c r="I15" s="891"/>
      <c r="J15" s="891">
        <v>1</v>
      </c>
      <c r="K15" s="891">
        <v>3</v>
      </c>
      <c r="L15" s="891"/>
      <c r="M15" s="891"/>
      <c r="N15" s="891"/>
      <c r="O15" s="891"/>
      <c r="P15" s="891"/>
      <c r="Q15" s="891">
        <v>1</v>
      </c>
      <c r="R15" s="891"/>
      <c r="S15" s="891">
        <v>1</v>
      </c>
      <c r="T15" s="891"/>
      <c r="U15" s="683">
        <f>D15-'[10]Báo cáo chất lượng CB Mẫu 14'!C18</f>
        <v>5</v>
      </c>
    </row>
    <row r="16" spans="1:21" s="682" customFormat="1" ht="21" customHeight="1">
      <c r="A16" s="891">
        <v>3</v>
      </c>
      <c r="B16" s="895" t="s">
        <v>773</v>
      </c>
      <c r="C16" s="891">
        <v>12</v>
      </c>
      <c r="D16" s="891">
        <v>12</v>
      </c>
      <c r="E16" s="891"/>
      <c r="F16" s="891"/>
      <c r="G16" s="891">
        <v>7</v>
      </c>
      <c r="H16" s="891"/>
      <c r="I16" s="891"/>
      <c r="J16" s="891">
        <v>1</v>
      </c>
      <c r="K16" s="891">
        <v>1</v>
      </c>
      <c r="L16" s="891"/>
      <c r="M16" s="891"/>
      <c r="N16" s="891"/>
      <c r="O16" s="891">
        <v>1</v>
      </c>
      <c r="P16" s="891"/>
      <c r="Q16" s="891">
        <v>2</v>
      </c>
      <c r="R16" s="891"/>
      <c r="S16" s="891"/>
      <c r="T16" s="891"/>
      <c r="U16" s="683">
        <f>D16-'[10]Báo cáo chất lượng CB Mẫu 14'!C19</f>
        <v>-2</v>
      </c>
    </row>
    <row r="17" spans="1:21" s="682" customFormat="1" ht="21" customHeight="1">
      <c r="A17" s="891">
        <v>4</v>
      </c>
      <c r="B17" s="895" t="s">
        <v>774</v>
      </c>
      <c r="C17" s="891">
        <v>8</v>
      </c>
      <c r="D17" s="891">
        <v>8</v>
      </c>
      <c r="E17" s="891"/>
      <c r="F17" s="891"/>
      <c r="G17" s="891">
        <v>4</v>
      </c>
      <c r="H17" s="891"/>
      <c r="I17" s="891"/>
      <c r="J17" s="891">
        <v>1</v>
      </c>
      <c r="K17" s="891"/>
      <c r="L17" s="891">
        <v>1</v>
      </c>
      <c r="M17" s="891"/>
      <c r="N17" s="891"/>
      <c r="O17" s="891"/>
      <c r="P17" s="891"/>
      <c r="Q17" s="891">
        <v>1</v>
      </c>
      <c r="R17" s="891"/>
      <c r="S17" s="891">
        <v>1</v>
      </c>
      <c r="T17" s="891"/>
      <c r="U17" s="683">
        <f>D17-'[10]Báo cáo chất lượng CB Mẫu 14'!C20</f>
        <v>1</v>
      </c>
    </row>
    <row r="18" spans="1:21" s="682" customFormat="1" ht="21" customHeight="1">
      <c r="A18" s="891">
        <v>5</v>
      </c>
      <c r="B18" s="895" t="s">
        <v>775</v>
      </c>
      <c r="C18" s="891">
        <v>9</v>
      </c>
      <c r="D18" s="891">
        <v>9</v>
      </c>
      <c r="E18" s="891"/>
      <c r="F18" s="891">
        <v>1</v>
      </c>
      <c r="G18" s="891">
        <v>3</v>
      </c>
      <c r="H18" s="891"/>
      <c r="I18" s="891"/>
      <c r="J18" s="891"/>
      <c r="K18" s="891">
        <v>1</v>
      </c>
      <c r="L18" s="891">
        <v>2</v>
      </c>
      <c r="M18" s="891"/>
      <c r="N18" s="891"/>
      <c r="O18" s="891"/>
      <c r="P18" s="891"/>
      <c r="Q18" s="891">
        <v>1</v>
      </c>
      <c r="R18" s="891"/>
      <c r="S18" s="891">
        <v>1</v>
      </c>
      <c r="T18" s="891"/>
      <c r="U18" s="683">
        <f>D18-'[10]Báo cáo chất lượng CB Mẫu 14'!C21</f>
        <v>1</v>
      </c>
    </row>
    <row r="19" spans="1:21" s="682" customFormat="1" ht="21" customHeight="1">
      <c r="A19" s="891">
        <v>6</v>
      </c>
      <c r="B19" s="895" t="s">
        <v>776</v>
      </c>
      <c r="C19" s="891">
        <v>6</v>
      </c>
      <c r="D19" s="891">
        <v>6</v>
      </c>
      <c r="E19" s="891"/>
      <c r="F19" s="891">
        <v>1</v>
      </c>
      <c r="G19" s="891">
        <v>1</v>
      </c>
      <c r="H19" s="891"/>
      <c r="I19" s="891"/>
      <c r="J19" s="891">
        <v>1</v>
      </c>
      <c r="K19" s="891"/>
      <c r="L19" s="891"/>
      <c r="M19" s="891"/>
      <c r="N19" s="891"/>
      <c r="O19" s="891">
        <v>1</v>
      </c>
      <c r="P19" s="891"/>
      <c r="Q19" s="891">
        <v>1</v>
      </c>
      <c r="R19" s="891"/>
      <c r="S19" s="891">
        <v>1</v>
      </c>
      <c r="T19" s="891"/>
      <c r="U19" s="683">
        <f>D19-'[10]Báo cáo chất lượng CB Mẫu 14'!C22</f>
        <v>-4</v>
      </c>
    </row>
    <row r="20" spans="1:21" s="682" customFormat="1" ht="21" customHeight="1">
      <c r="A20" s="891">
        <v>7</v>
      </c>
      <c r="B20" s="895" t="s">
        <v>777</v>
      </c>
      <c r="C20" s="891">
        <v>5</v>
      </c>
      <c r="D20" s="891">
        <v>5</v>
      </c>
      <c r="E20" s="891"/>
      <c r="F20" s="891"/>
      <c r="G20" s="891">
        <v>2</v>
      </c>
      <c r="H20" s="891"/>
      <c r="I20" s="891"/>
      <c r="J20" s="891"/>
      <c r="K20" s="891"/>
      <c r="L20" s="891">
        <v>1</v>
      </c>
      <c r="M20" s="891"/>
      <c r="N20" s="891"/>
      <c r="O20" s="891"/>
      <c r="P20" s="891">
        <v>1</v>
      </c>
      <c r="Q20" s="891">
        <v>1</v>
      </c>
      <c r="R20" s="891"/>
      <c r="S20" s="891"/>
      <c r="T20" s="891"/>
      <c r="U20" s="683">
        <f>D20-'[10]Báo cáo chất lượng CB Mẫu 14'!C23</f>
        <v>-2</v>
      </c>
    </row>
    <row r="21" spans="1:21" s="640" customFormat="1" ht="26.25" customHeight="1">
      <c r="A21" s="660"/>
      <c r="B21" s="1856"/>
      <c r="C21" s="1856"/>
      <c r="D21" s="1856"/>
      <c r="E21" s="1856"/>
      <c r="F21" s="1856"/>
      <c r="G21" s="1856"/>
      <c r="H21" s="661"/>
      <c r="I21" s="661"/>
      <c r="J21" s="661"/>
      <c r="K21" s="661"/>
      <c r="L21" s="661"/>
      <c r="M21" s="1834" t="str">
        <f>'Thong tin'!B8</f>
        <v>Tuyên Quang, ngày 05 tháng 04 năm 2018</v>
      </c>
      <c r="N21" s="1834"/>
      <c r="O21" s="1834"/>
      <c r="P21" s="1834"/>
      <c r="Q21" s="1834"/>
      <c r="R21" s="1834"/>
      <c r="S21" s="1834"/>
      <c r="T21" s="1834"/>
      <c r="U21" s="1834"/>
    </row>
    <row r="22" spans="1:20" s="604" customFormat="1" ht="18.75" customHeight="1">
      <c r="A22" s="684"/>
      <c r="B22" s="1875" t="s">
        <v>248</v>
      </c>
      <c r="C22" s="1875"/>
      <c r="D22" s="1875"/>
      <c r="E22" s="685"/>
      <c r="F22" s="624"/>
      <c r="G22" s="624"/>
      <c r="H22" s="624"/>
      <c r="I22" s="624"/>
      <c r="J22" s="624"/>
      <c r="K22" s="624"/>
      <c r="L22" s="623"/>
      <c r="M22" s="1827" t="str">
        <f>'Thong tin'!B7</f>
        <v>CỤC TRƯỞNG</v>
      </c>
      <c r="N22" s="1827"/>
      <c r="O22" s="1827"/>
      <c r="P22" s="1827"/>
      <c r="Q22" s="1827"/>
      <c r="R22" s="1827"/>
      <c r="S22" s="1827"/>
      <c r="T22" s="1827"/>
    </row>
    <row r="23" spans="1:20" s="604" customFormat="1" ht="18.75">
      <c r="A23" s="625"/>
      <c r="B23" s="1849"/>
      <c r="C23" s="1849"/>
      <c r="D23" s="1849"/>
      <c r="E23" s="627"/>
      <c r="F23" s="627"/>
      <c r="G23" s="627"/>
      <c r="H23" s="627"/>
      <c r="I23" s="627"/>
      <c r="J23" s="627"/>
      <c r="K23" s="627"/>
      <c r="L23" s="627"/>
      <c r="M23" s="1827"/>
      <c r="N23" s="1827"/>
      <c r="O23" s="1827"/>
      <c r="P23" s="1827"/>
      <c r="Q23" s="1827"/>
      <c r="R23" s="1827"/>
      <c r="S23" s="1827"/>
      <c r="T23" s="1827"/>
    </row>
    <row r="24" spans="1:20" s="604" customFormat="1" ht="18.75">
      <c r="A24" s="625"/>
      <c r="B24" s="627"/>
      <c r="C24" s="627"/>
      <c r="D24" s="627"/>
      <c r="E24" s="627"/>
      <c r="F24" s="627"/>
      <c r="G24" s="627"/>
      <c r="H24" s="627"/>
      <c r="I24" s="627"/>
      <c r="J24" s="627"/>
      <c r="K24" s="627"/>
      <c r="L24" s="627"/>
      <c r="M24" s="755"/>
      <c r="N24" s="755"/>
      <c r="O24" s="755"/>
      <c r="P24" s="755"/>
      <c r="Q24" s="753"/>
      <c r="R24" s="753"/>
      <c r="S24" s="753"/>
      <c r="T24" s="753"/>
    </row>
    <row r="25" spans="2:20" ht="13.5" customHeight="1" hidden="1">
      <c r="B25" s="627"/>
      <c r="C25" s="627"/>
      <c r="D25" s="627"/>
      <c r="E25" s="627"/>
      <c r="F25" s="627"/>
      <c r="G25" s="627"/>
      <c r="H25" s="627"/>
      <c r="I25" s="627"/>
      <c r="J25" s="627"/>
      <c r="K25" s="627"/>
      <c r="L25" s="627"/>
      <c r="M25" s="755"/>
      <c r="N25" s="755"/>
      <c r="O25" s="755"/>
      <c r="P25" s="755"/>
      <c r="Q25" s="755"/>
      <c r="R25" s="755"/>
      <c r="S25" s="755"/>
      <c r="T25" s="755"/>
    </row>
    <row r="26" spans="1:20" ht="18.75" hidden="1">
      <c r="A26" s="686" t="s">
        <v>250</v>
      </c>
      <c r="B26" s="627"/>
      <c r="C26" s="627"/>
      <c r="D26" s="627"/>
      <c r="E26" s="627"/>
      <c r="F26" s="627"/>
      <c r="G26" s="627"/>
      <c r="H26" s="627"/>
      <c r="I26" s="627"/>
      <c r="J26" s="627"/>
      <c r="K26" s="627"/>
      <c r="L26" s="627"/>
      <c r="M26" s="755"/>
      <c r="N26" s="755"/>
      <c r="O26" s="755"/>
      <c r="P26" s="755"/>
      <c r="Q26" s="755"/>
      <c r="R26" s="755"/>
      <c r="S26" s="755"/>
      <c r="T26" s="755"/>
    </row>
    <row r="27" spans="2:20" ht="18.75" hidden="1">
      <c r="B27" s="687" t="s">
        <v>251</v>
      </c>
      <c r="C27" s="627"/>
      <c r="D27" s="627"/>
      <c r="E27" s="627"/>
      <c r="F27" s="627"/>
      <c r="G27" s="627"/>
      <c r="H27" s="627"/>
      <c r="I27" s="627"/>
      <c r="J27" s="627"/>
      <c r="K27" s="627"/>
      <c r="L27" s="627"/>
      <c r="M27" s="755"/>
      <c r="N27" s="755"/>
      <c r="O27" s="755"/>
      <c r="P27" s="755"/>
      <c r="Q27" s="755"/>
      <c r="R27" s="755"/>
      <c r="S27" s="755"/>
      <c r="T27" s="755"/>
    </row>
    <row r="28" spans="2:20" ht="18.75" hidden="1">
      <c r="B28" s="687" t="s">
        <v>252</v>
      </c>
      <c r="C28" s="627"/>
      <c r="D28" s="627"/>
      <c r="E28" s="627"/>
      <c r="F28" s="627"/>
      <c r="G28" s="627"/>
      <c r="H28" s="627"/>
      <c r="I28" s="627"/>
      <c r="J28" s="627"/>
      <c r="K28" s="627"/>
      <c r="L28" s="627"/>
      <c r="M28" s="755"/>
      <c r="N28" s="755"/>
      <c r="O28" s="755"/>
      <c r="P28" s="755"/>
      <c r="Q28" s="755"/>
      <c r="R28" s="755"/>
      <c r="S28" s="755"/>
      <c r="T28" s="755"/>
    </row>
    <row r="29" spans="2:20" s="674" customFormat="1" ht="18.75">
      <c r="B29" s="1876"/>
      <c r="C29" s="1876"/>
      <c r="D29" s="1876"/>
      <c r="E29" s="687"/>
      <c r="F29" s="687"/>
      <c r="G29" s="687"/>
      <c r="H29" s="687"/>
      <c r="I29" s="687"/>
      <c r="J29" s="687"/>
      <c r="K29" s="687"/>
      <c r="L29" s="687"/>
      <c r="M29" s="762"/>
      <c r="N29" s="1877"/>
      <c r="O29" s="1877"/>
      <c r="P29" s="1877"/>
      <c r="Q29" s="1877"/>
      <c r="R29" s="1877"/>
      <c r="S29" s="1877"/>
      <c r="T29" s="762"/>
    </row>
    <row r="30" spans="2:20" ht="18.75">
      <c r="B30" s="627"/>
      <c r="C30" s="627"/>
      <c r="D30" s="627"/>
      <c r="E30" s="627"/>
      <c r="F30" s="627"/>
      <c r="G30" s="627"/>
      <c r="H30" s="627"/>
      <c r="I30" s="627"/>
      <c r="J30" s="627"/>
      <c r="K30" s="627"/>
      <c r="L30" s="627"/>
      <c r="M30" s="755"/>
      <c r="N30" s="755"/>
      <c r="O30" s="755"/>
      <c r="P30" s="755"/>
      <c r="Q30" s="755"/>
      <c r="R30" s="755"/>
      <c r="S30" s="755"/>
      <c r="T30" s="755"/>
    </row>
    <row r="31" spans="2:21" ht="18.75">
      <c r="B31" s="1789" t="str">
        <f>'Thong tin'!B5</f>
        <v>Duy Thị Thúy</v>
      </c>
      <c r="C31" s="1789"/>
      <c r="D31" s="1789"/>
      <c r="E31" s="670"/>
      <c r="F31" s="670"/>
      <c r="G31" s="670"/>
      <c r="H31" s="670"/>
      <c r="I31" s="623"/>
      <c r="J31" s="623"/>
      <c r="K31" s="623"/>
      <c r="L31" s="623"/>
      <c r="M31" s="1731" t="str">
        <f>'Thong tin'!B6</f>
        <v>Nguyễn Tuyên </v>
      </c>
      <c r="N31" s="1731"/>
      <c r="O31" s="1731"/>
      <c r="P31" s="1731"/>
      <c r="Q31" s="1731"/>
      <c r="R31" s="1731"/>
      <c r="S31" s="1731"/>
      <c r="T31" s="1731"/>
      <c r="U31" s="597"/>
    </row>
    <row r="32" spans="2:20" ht="18.75">
      <c r="B32" s="627"/>
      <c r="C32" s="627"/>
      <c r="D32" s="627"/>
      <c r="E32" s="627"/>
      <c r="F32" s="627"/>
      <c r="G32" s="627"/>
      <c r="H32" s="627"/>
      <c r="I32" s="627"/>
      <c r="J32" s="627"/>
      <c r="K32" s="627"/>
      <c r="L32" s="627"/>
      <c r="M32" s="627"/>
      <c r="N32" s="627"/>
      <c r="O32" s="627"/>
      <c r="P32" s="627"/>
      <c r="Q32" s="627"/>
      <c r="R32" s="627"/>
      <c r="S32" s="627"/>
      <c r="T32" s="627"/>
    </row>
    <row r="33" spans="2:20" ht="18.75">
      <c r="B33" s="627"/>
      <c r="C33" s="627"/>
      <c r="D33" s="627"/>
      <c r="E33" s="627"/>
      <c r="F33" s="627"/>
      <c r="G33" s="627"/>
      <c r="H33" s="627"/>
      <c r="I33" s="627"/>
      <c r="J33" s="627"/>
      <c r="K33" s="627"/>
      <c r="L33" s="627"/>
      <c r="M33" s="627"/>
      <c r="N33" s="627"/>
      <c r="O33" s="627"/>
      <c r="P33" s="627"/>
      <c r="Q33" s="627"/>
      <c r="R33" s="627"/>
      <c r="S33" s="627"/>
      <c r="T33" s="627"/>
    </row>
  </sheetData>
  <sheetProtection/>
  <mergeCells count="35">
    <mergeCell ref="P2:T2"/>
    <mergeCell ref="A3:C3"/>
    <mergeCell ref="A4:C4"/>
    <mergeCell ref="D4:N4"/>
    <mergeCell ref="D3:N3"/>
    <mergeCell ref="U8:U10"/>
    <mergeCell ref="K8:L8"/>
    <mergeCell ref="M8:O8"/>
    <mergeCell ref="P8:P9"/>
    <mergeCell ref="Q8:Q9"/>
    <mergeCell ref="A1:C1"/>
    <mergeCell ref="D1:N2"/>
    <mergeCell ref="A2:C2"/>
    <mergeCell ref="E8:G8"/>
    <mergeCell ref="H8:J8"/>
    <mergeCell ref="D6:S6"/>
    <mergeCell ref="S8:S9"/>
    <mergeCell ref="A6:B9"/>
    <mergeCell ref="D7:D9"/>
    <mergeCell ref="E7:S7"/>
    <mergeCell ref="R8:R9"/>
    <mergeCell ref="T6:T9"/>
    <mergeCell ref="A10:B10"/>
    <mergeCell ref="A11:B11"/>
    <mergeCell ref="C6:C9"/>
    <mergeCell ref="B21:G21"/>
    <mergeCell ref="M21:U21"/>
    <mergeCell ref="B31:D31"/>
    <mergeCell ref="M31:T31"/>
    <mergeCell ref="B22:D22"/>
    <mergeCell ref="M22:T22"/>
    <mergeCell ref="B23:D23"/>
    <mergeCell ref="M23:T23"/>
    <mergeCell ref="B29:D29"/>
    <mergeCell ref="N29:S2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366" t="s">
        <v>27</v>
      </c>
      <c r="B1" s="1366"/>
      <c r="C1" s="107"/>
      <c r="D1" s="1369" t="s">
        <v>457</v>
      </c>
      <c r="E1" s="1369"/>
      <c r="F1" s="1369"/>
      <c r="G1" s="1369"/>
      <c r="H1" s="1369"/>
      <c r="I1" s="1369"/>
      <c r="J1" s="1369"/>
      <c r="K1" s="1369"/>
      <c r="L1" s="1369"/>
      <c r="M1" s="1340" t="s">
        <v>398</v>
      </c>
      <c r="N1" s="1341"/>
      <c r="O1" s="1341"/>
      <c r="P1" s="1341"/>
    </row>
    <row r="2" spans="1:16" s="51" customFormat="1" ht="34.5" customHeight="1">
      <c r="A2" s="1368" t="s">
        <v>399</v>
      </c>
      <c r="B2" s="1368"/>
      <c r="C2" s="1368"/>
      <c r="D2" s="1369"/>
      <c r="E2" s="1369"/>
      <c r="F2" s="1369"/>
      <c r="G2" s="1369"/>
      <c r="H2" s="1369"/>
      <c r="I2" s="1369"/>
      <c r="J2" s="1369"/>
      <c r="K2" s="1369"/>
      <c r="L2" s="1369"/>
      <c r="M2" s="1342" t="s">
        <v>458</v>
      </c>
      <c r="N2" s="1343"/>
      <c r="O2" s="1343"/>
      <c r="P2" s="1343"/>
    </row>
    <row r="3" spans="1:16" s="51" customFormat="1" ht="19.5" customHeight="1">
      <c r="A3" s="1367" t="s">
        <v>400</v>
      </c>
      <c r="B3" s="1367"/>
      <c r="C3" s="1367"/>
      <c r="D3" s="1369"/>
      <c r="E3" s="1369"/>
      <c r="F3" s="1369"/>
      <c r="G3" s="1369"/>
      <c r="H3" s="1369"/>
      <c r="I3" s="1369"/>
      <c r="J3" s="1369"/>
      <c r="K3" s="1369"/>
      <c r="L3" s="1369"/>
      <c r="M3" s="1342" t="s">
        <v>401</v>
      </c>
      <c r="N3" s="1343"/>
      <c r="O3" s="1343"/>
      <c r="P3" s="1343"/>
    </row>
    <row r="4" spans="1:16" s="112" customFormat="1" ht="18.75" customHeight="1">
      <c r="A4" s="108"/>
      <c r="B4" s="108"/>
      <c r="C4" s="109"/>
      <c r="D4" s="1312"/>
      <c r="E4" s="1312"/>
      <c r="F4" s="1312"/>
      <c r="G4" s="1312"/>
      <c r="H4" s="1312"/>
      <c r="I4" s="1312"/>
      <c r="J4" s="1312"/>
      <c r="K4" s="1312"/>
      <c r="L4" s="1312"/>
      <c r="M4" s="110" t="s">
        <v>402</v>
      </c>
      <c r="N4" s="111"/>
      <c r="O4" s="111"/>
      <c r="P4" s="111"/>
    </row>
    <row r="5" spans="1:16" ht="49.5" customHeight="1">
      <c r="A5" s="1355" t="s">
        <v>71</v>
      </c>
      <c r="B5" s="1356"/>
      <c r="C5" s="1361" t="s">
        <v>99</v>
      </c>
      <c r="D5" s="1346"/>
      <c r="E5" s="1346"/>
      <c r="F5" s="1346"/>
      <c r="G5" s="1346"/>
      <c r="H5" s="1346"/>
      <c r="I5" s="1346"/>
      <c r="J5" s="1346"/>
      <c r="K5" s="1344" t="s">
        <v>98</v>
      </c>
      <c r="L5" s="1344"/>
      <c r="M5" s="1344"/>
      <c r="N5" s="1344"/>
      <c r="O5" s="1344"/>
      <c r="P5" s="1344"/>
    </row>
    <row r="6" spans="1:16" ht="20.25" customHeight="1">
      <c r="A6" s="1357"/>
      <c r="B6" s="1358"/>
      <c r="C6" s="1361" t="s">
        <v>3</v>
      </c>
      <c r="D6" s="1346"/>
      <c r="E6" s="1346"/>
      <c r="F6" s="1347"/>
      <c r="G6" s="1344" t="s">
        <v>10</v>
      </c>
      <c r="H6" s="1344"/>
      <c r="I6" s="1344"/>
      <c r="J6" s="1344"/>
      <c r="K6" s="1345" t="s">
        <v>3</v>
      </c>
      <c r="L6" s="1345"/>
      <c r="M6" s="1345"/>
      <c r="N6" s="1350" t="s">
        <v>10</v>
      </c>
      <c r="O6" s="1350"/>
      <c r="P6" s="1350"/>
    </row>
    <row r="7" spans="1:16" ht="52.5" customHeight="1">
      <c r="A7" s="1357"/>
      <c r="B7" s="1358"/>
      <c r="C7" s="1362" t="s">
        <v>403</v>
      </c>
      <c r="D7" s="1346" t="s">
        <v>95</v>
      </c>
      <c r="E7" s="1346"/>
      <c r="F7" s="1347"/>
      <c r="G7" s="1344" t="s">
        <v>404</v>
      </c>
      <c r="H7" s="1344" t="s">
        <v>95</v>
      </c>
      <c r="I7" s="1344"/>
      <c r="J7" s="1344"/>
      <c r="K7" s="1344" t="s">
        <v>38</v>
      </c>
      <c r="L7" s="1344" t="s">
        <v>96</v>
      </c>
      <c r="M7" s="1344"/>
      <c r="N7" s="1344" t="s">
        <v>79</v>
      </c>
      <c r="O7" s="1344" t="s">
        <v>96</v>
      </c>
      <c r="P7" s="1344"/>
    </row>
    <row r="8" spans="1:16" ht="15.75" customHeight="1">
      <c r="A8" s="1357"/>
      <c r="B8" s="1358"/>
      <c r="C8" s="1362"/>
      <c r="D8" s="1344" t="s">
        <v>43</v>
      </c>
      <c r="E8" s="1344" t="s">
        <v>44</v>
      </c>
      <c r="F8" s="1344" t="s">
        <v>47</v>
      </c>
      <c r="G8" s="1344"/>
      <c r="H8" s="1344" t="s">
        <v>43</v>
      </c>
      <c r="I8" s="1344" t="s">
        <v>44</v>
      </c>
      <c r="J8" s="1344" t="s">
        <v>47</v>
      </c>
      <c r="K8" s="1344"/>
      <c r="L8" s="1344" t="s">
        <v>15</v>
      </c>
      <c r="M8" s="1344" t="s">
        <v>14</v>
      </c>
      <c r="N8" s="1344"/>
      <c r="O8" s="1344" t="s">
        <v>15</v>
      </c>
      <c r="P8" s="1344" t="s">
        <v>14</v>
      </c>
    </row>
    <row r="9" spans="1:16" ht="44.25" customHeight="1">
      <c r="A9" s="1359"/>
      <c r="B9" s="1360"/>
      <c r="C9" s="1363"/>
      <c r="D9" s="1344"/>
      <c r="E9" s="1344"/>
      <c r="F9" s="1344"/>
      <c r="G9" s="1344"/>
      <c r="H9" s="1344"/>
      <c r="I9" s="1344"/>
      <c r="J9" s="1344"/>
      <c r="K9" s="1344"/>
      <c r="L9" s="1344"/>
      <c r="M9" s="1344"/>
      <c r="N9" s="1344"/>
      <c r="O9" s="1344"/>
      <c r="P9" s="1344"/>
    </row>
    <row r="10" spans="1:16" ht="15" customHeight="1">
      <c r="A10" s="1353" t="s">
        <v>6</v>
      </c>
      <c r="B10" s="1354"/>
      <c r="C10" s="114">
        <v>1</v>
      </c>
      <c r="D10" s="114" t="s">
        <v>52</v>
      </c>
      <c r="E10" s="114" t="s">
        <v>57</v>
      </c>
      <c r="F10" s="114" t="s">
        <v>72</v>
      </c>
      <c r="G10" s="114" t="s">
        <v>73</v>
      </c>
      <c r="H10" s="114" t="s">
        <v>74</v>
      </c>
      <c r="I10" s="114" t="s">
        <v>75</v>
      </c>
      <c r="J10" s="114" t="s">
        <v>76</v>
      </c>
      <c r="K10" s="114" t="s">
        <v>77</v>
      </c>
      <c r="L10" s="114" t="s">
        <v>100</v>
      </c>
      <c r="M10" s="114" t="s">
        <v>101</v>
      </c>
      <c r="N10" s="114" t="s">
        <v>102</v>
      </c>
      <c r="O10" s="114" t="s">
        <v>103</v>
      </c>
      <c r="P10" s="114" t="s">
        <v>104</v>
      </c>
    </row>
    <row r="11" spans="1:16" ht="15" customHeight="1">
      <c r="A11" s="1364" t="s">
        <v>405</v>
      </c>
      <c r="B11" s="1365"/>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348" t="s">
        <v>406</v>
      </c>
      <c r="B12" s="1349"/>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351" t="s">
        <v>40</v>
      </c>
      <c r="B13" s="135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97</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18</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51</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52</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57</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72</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73</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74</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75</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76</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77</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100</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101</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336" t="s">
        <v>459</v>
      </c>
      <c r="C28" s="1337"/>
      <c r="D28" s="1337"/>
      <c r="E28" s="1337"/>
      <c r="F28" s="132"/>
      <c r="G28" s="132"/>
      <c r="H28" s="132"/>
      <c r="I28" s="132"/>
      <c r="J28" s="132"/>
      <c r="K28" s="1331" t="s">
        <v>460</v>
      </c>
      <c r="L28" s="1331"/>
      <c r="M28" s="1331"/>
      <c r="N28" s="1331"/>
      <c r="O28" s="1331"/>
      <c r="P28" s="1331"/>
      <c r="AG28" s="82" t="s">
        <v>394</v>
      </c>
      <c r="AI28" s="122">
        <f>82/88</f>
        <v>0.9318181818181818</v>
      </c>
    </row>
    <row r="29" spans="2:16" ht="16.5">
      <c r="B29" s="1337"/>
      <c r="C29" s="1337"/>
      <c r="D29" s="1337"/>
      <c r="E29" s="1337"/>
      <c r="F29" s="132"/>
      <c r="G29" s="132"/>
      <c r="H29" s="132"/>
      <c r="I29" s="132"/>
      <c r="J29" s="132"/>
      <c r="K29" s="1331"/>
      <c r="L29" s="1331"/>
      <c r="M29" s="1331"/>
      <c r="N29" s="1331"/>
      <c r="O29" s="1331"/>
      <c r="P29" s="1331"/>
    </row>
    <row r="30" spans="2:16" ht="21" customHeight="1">
      <c r="B30" s="1337"/>
      <c r="C30" s="1337"/>
      <c r="D30" s="1337"/>
      <c r="E30" s="1337"/>
      <c r="F30" s="132"/>
      <c r="G30" s="132"/>
      <c r="H30" s="132"/>
      <c r="I30" s="132"/>
      <c r="J30" s="132"/>
      <c r="K30" s="1331"/>
      <c r="L30" s="1331"/>
      <c r="M30" s="1331"/>
      <c r="N30" s="1331"/>
      <c r="O30" s="1331"/>
      <c r="P30" s="1331"/>
    </row>
    <row r="32" spans="2:16" ht="16.5" customHeight="1">
      <c r="B32" s="1339" t="s">
        <v>397</v>
      </c>
      <c r="C32" s="1339"/>
      <c r="D32" s="1339"/>
      <c r="E32" s="133"/>
      <c r="F32" s="133"/>
      <c r="G32" s="133"/>
      <c r="H32" s="133"/>
      <c r="I32" s="133"/>
      <c r="J32" s="133"/>
      <c r="K32" s="1338" t="s">
        <v>461</v>
      </c>
      <c r="L32" s="1338"/>
      <c r="M32" s="1338"/>
      <c r="N32" s="1338"/>
      <c r="O32" s="1338"/>
      <c r="P32" s="1338"/>
    </row>
    <row r="33" ht="12.75" customHeight="1"/>
    <row r="34" spans="2:5" ht="15.75">
      <c r="B34" s="134"/>
      <c r="C34" s="134"/>
      <c r="D34" s="134"/>
      <c r="E34" s="134"/>
    </row>
    <row r="35" ht="15.75" hidden="1"/>
    <row r="36" spans="2:16" ht="15.75">
      <c r="B36" s="1334" t="s">
        <v>350</v>
      </c>
      <c r="C36" s="1334"/>
      <c r="D36" s="1334"/>
      <c r="E36" s="1334"/>
      <c r="F36" s="135"/>
      <c r="G36" s="135"/>
      <c r="H36" s="135"/>
      <c r="I36" s="135"/>
      <c r="K36" s="1335" t="s">
        <v>351</v>
      </c>
      <c r="L36" s="1335"/>
      <c r="M36" s="1335"/>
      <c r="N36" s="1335"/>
      <c r="O36" s="1335"/>
      <c r="P36" s="1335"/>
    </row>
    <row r="39" ht="15.75">
      <c r="A39" s="137" t="s">
        <v>48</v>
      </c>
    </row>
    <row r="40" spans="1:6" ht="15.75">
      <c r="A40" s="138"/>
      <c r="B40" s="139" t="s">
        <v>58</v>
      </c>
      <c r="C40" s="139"/>
      <c r="D40" s="139"/>
      <c r="E40" s="139"/>
      <c r="F40" s="139"/>
    </row>
    <row r="41" spans="1:14" ht="15.75" customHeight="1">
      <c r="A41" s="140" t="s">
        <v>26</v>
      </c>
      <c r="B41" s="1333" t="s">
        <v>62</v>
      </c>
      <c r="C41" s="1333"/>
      <c r="D41" s="1333"/>
      <c r="E41" s="1333"/>
      <c r="F41" s="1333"/>
      <c r="G41" s="140"/>
      <c r="H41" s="140"/>
      <c r="I41" s="140"/>
      <c r="J41" s="140"/>
      <c r="K41" s="140"/>
      <c r="L41" s="140"/>
      <c r="M41" s="140"/>
      <c r="N41" s="140"/>
    </row>
    <row r="42" spans="1:14" ht="15" customHeight="1">
      <c r="A42" s="140"/>
      <c r="B42" s="1332" t="s">
        <v>65</v>
      </c>
      <c r="C42" s="1332"/>
      <c r="D42" s="1332"/>
      <c r="E42" s="1332"/>
      <c r="F42" s="1332"/>
      <c r="G42" s="1332"/>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M31"/>
  <sheetViews>
    <sheetView showZeros="0" zoomScalePageLayoutView="0" workbookViewId="0" topLeftCell="A7">
      <selection activeCell="C11" sqref="C11:T11"/>
    </sheetView>
  </sheetViews>
  <sheetFormatPr defaultColWidth="9.00390625" defaultRowHeight="15.75"/>
  <cols>
    <col min="1" max="1" width="3.75390625" style="640" customWidth="1"/>
    <col min="2" max="2" width="24.875" style="640" customWidth="1"/>
    <col min="3" max="3" width="7.875" style="640" customWidth="1"/>
    <col min="4" max="5" width="5.625" style="640" customWidth="1"/>
    <col min="6" max="7" width="6.25390625" style="640" customWidth="1"/>
    <col min="8" max="8" width="5.625" style="640" customWidth="1"/>
    <col min="9" max="9" width="6.00390625" style="640" customWidth="1"/>
    <col min="10" max="10" width="6.125" style="640" customWidth="1"/>
    <col min="11" max="11" width="5.00390625" style="640" customWidth="1"/>
    <col min="12" max="12" width="5.625" style="640" customWidth="1"/>
    <col min="13" max="13" width="6.125" style="640" customWidth="1"/>
    <col min="14" max="15" width="6.25390625" style="640" customWidth="1"/>
    <col min="16" max="17" width="5.625" style="640" customWidth="1"/>
    <col min="18" max="18" width="5.25390625" style="640" customWidth="1"/>
    <col min="19" max="19" width="5.875" style="640" customWidth="1"/>
    <col min="20" max="20" width="5.625" style="640" customWidth="1"/>
    <col min="21" max="28" width="9.00390625" style="640" customWidth="1"/>
    <col min="29" max="29" width="8.375" style="640" customWidth="1"/>
    <col min="30" max="30" width="9.00390625" style="640" customWidth="1"/>
    <col min="31" max="31" width="11.25390625" style="640" customWidth="1"/>
    <col min="32" max="32" width="13.50390625" style="640" customWidth="1"/>
    <col min="33" max="16384" width="9.00390625" style="640" customWidth="1"/>
  </cols>
  <sheetData>
    <row r="1" spans="1:20" ht="16.5">
      <c r="A1" s="1872" t="s">
        <v>253</v>
      </c>
      <c r="B1" s="1872"/>
      <c r="C1" s="1872"/>
      <c r="D1" s="688"/>
      <c r="E1" s="1919" t="s">
        <v>254</v>
      </c>
      <c r="F1" s="1919"/>
      <c r="G1" s="1919"/>
      <c r="H1" s="1919"/>
      <c r="I1" s="1919"/>
      <c r="J1" s="1919"/>
      <c r="K1" s="1919"/>
      <c r="L1" s="1919"/>
      <c r="M1" s="1919"/>
      <c r="N1" s="1919"/>
      <c r="O1" s="639"/>
      <c r="P1" s="1920" t="s">
        <v>656</v>
      </c>
      <c r="Q1" s="1866"/>
      <c r="R1" s="1866"/>
      <c r="S1" s="1866"/>
      <c r="T1" s="1866"/>
    </row>
    <row r="2" spans="1:20" ht="15.75" customHeight="1">
      <c r="A2" s="1868" t="s">
        <v>723</v>
      </c>
      <c r="B2" s="1868"/>
      <c r="C2" s="1868"/>
      <c r="D2" s="1868"/>
      <c r="E2" s="1921" t="s">
        <v>255</v>
      </c>
      <c r="F2" s="1921"/>
      <c r="G2" s="1921"/>
      <c r="H2" s="1921"/>
      <c r="I2" s="1921"/>
      <c r="J2" s="1921"/>
      <c r="K2" s="1921"/>
      <c r="L2" s="1921"/>
      <c r="M2" s="1921"/>
      <c r="N2" s="1921"/>
      <c r="O2" s="642"/>
      <c r="P2" s="1922" t="str">
        <f>'Thong tin'!B4</f>
        <v>Cục THADS tỉnh Tuyên Quang</v>
      </c>
      <c r="Q2" s="1922"/>
      <c r="R2" s="1922"/>
      <c r="S2" s="1922"/>
      <c r="T2" s="1922"/>
    </row>
    <row r="3" spans="1:20" ht="17.25">
      <c r="A3" s="1868" t="s">
        <v>343</v>
      </c>
      <c r="B3" s="1868"/>
      <c r="C3" s="1868"/>
      <c r="D3" s="689"/>
      <c r="E3" s="1870" t="str">
        <f>'Thong tin'!B3</f>
        <v>06 tháng / năm 2018</v>
      </c>
      <c r="F3" s="1870"/>
      <c r="G3" s="1870"/>
      <c r="H3" s="1870"/>
      <c r="I3" s="1870"/>
      <c r="J3" s="1870"/>
      <c r="K3" s="1870"/>
      <c r="L3" s="1870"/>
      <c r="M3" s="1870"/>
      <c r="N3" s="1870"/>
      <c r="O3" s="642"/>
      <c r="P3" s="1916" t="s">
        <v>468</v>
      </c>
      <c r="Q3" s="1916"/>
      <c r="R3" s="1916"/>
      <c r="S3" s="1916"/>
      <c r="T3" s="1916"/>
    </row>
    <row r="4" spans="1:20" ht="18.75" customHeight="1">
      <c r="A4" s="1917" t="s">
        <v>362</v>
      </c>
      <c r="B4" s="1917"/>
      <c r="C4" s="1917"/>
      <c r="D4" s="1918"/>
      <c r="E4" s="1918"/>
      <c r="F4" s="1918"/>
      <c r="G4" s="1918"/>
      <c r="H4" s="1918"/>
      <c r="I4" s="1918"/>
      <c r="J4" s="1918"/>
      <c r="K4" s="1918"/>
      <c r="L4" s="1918"/>
      <c r="M4" s="1918"/>
      <c r="N4" s="1918"/>
      <c r="O4" s="644"/>
      <c r="P4" s="1874" t="s">
        <v>401</v>
      </c>
      <c r="Q4" s="1916"/>
      <c r="R4" s="1916"/>
      <c r="S4" s="1916"/>
      <c r="T4" s="1916"/>
    </row>
    <row r="5" spans="1:23" ht="29.25" customHeight="1">
      <c r="A5" s="1894" t="s">
        <v>71</v>
      </c>
      <c r="B5" s="1895"/>
      <c r="C5" s="1878" t="s">
        <v>755</v>
      </c>
      <c r="D5" s="1893" t="s">
        <v>778</v>
      </c>
      <c r="E5" s="1891"/>
      <c r="F5" s="1891"/>
      <c r="G5" s="1891"/>
      <c r="H5" s="1891"/>
      <c r="I5" s="1891"/>
      <c r="J5" s="1892"/>
      <c r="K5" s="1912" t="s">
        <v>779</v>
      </c>
      <c r="L5" s="1913"/>
      <c r="M5" s="1913"/>
      <c r="N5" s="1913"/>
      <c r="O5" s="1913"/>
      <c r="P5" s="1913"/>
      <c r="Q5" s="1913"/>
      <c r="R5" s="1913"/>
      <c r="S5" s="1913"/>
      <c r="T5" s="1895"/>
      <c r="U5" s="691"/>
      <c r="V5" s="654"/>
      <c r="W5" s="654"/>
    </row>
    <row r="6" spans="1:20" ht="19.5" customHeight="1">
      <c r="A6" s="1896"/>
      <c r="B6" s="1897"/>
      <c r="C6" s="1887"/>
      <c r="D6" s="1893" t="s">
        <v>7</v>
      </c>
      <c r="E6" s="1891"/>
      <c r="F6" s="1891"/>
      <c r="G6" s="1891"/>
      <c r="H6" s="1891"/>
      <c r="I6" s="1891"/>
      <c r="J6" s="1892"/>
      <c r="K6" s="1898"/>
      <c r="L6" s="1914"/>
      <c r="M6" s="1914"/>
      <c r="N6" s="1914"/>
      <c r="O6" s="1914"/>
      <c r="P6" s="1914"/>
      <c r="Q6" s="1914"/>
      <c r="R6" s="1914"/>
      <c r="S6" s="1914"/>
      <c r="T6" s="1899"/>
    </row>
    <row r="7" spans="1:20" ht="33" customHeight="1">
      <c r="A7" s="1896"/>
      <c r="B7" s="1897"/>
      <c r="C7" s="1887"/>
      <c r="D7" s="1890" t="s">
        <v>780</v>
      </c>
      <c r="E7" s="1892"/>
      <c r="F7" s="1890" t="s">
        <v>259</v>
      </c>
      <c r="G7" s="1892"/>
      <c r="H7" s="1890" t="s">
        <v>781</v>
      </c>
      <c r="I7" s="1892"/>
      <c r="J7" s="1878" t="s">
        <v>782</v>
      </c>
      <c r="K7" s="1890" t="s">
        <v>783</v>
      </c>
      <c r="L7" s="1891"/>
      <c r="M7" s="1892"/>
      <c r="N7" s="1893" t="s">
        <v>784</v>
      </c>
      <c r="O7" s="1891"/>
      <c r="P7" s="1892"/>
      <c r="Q7" s="1878" t="s">
        <v>785</v>
      </c>
      <c r="R7" s="1878" t="s">
        <v>786</v>
      </c>
      <c r="S7" s="1878" t="s">
        <v>787</v>
      </c>
      <c r="T7" s="1915" t="s">
        <v>267</v>
      </c>
    </row>
    <row r="8" spans="1:20" ht="26.25" customHeight="1">
      <c r="A8" s="1898"/>
      <c r="B8" s="1899"/>
      <c r="C8" s="1879"/>
      <c r="D8" s="889" t="s">
        <v>788</v>
      </c>
      <c r="E8" s="889" t="s">
        <v>269</v>
      </c>
      <c r="F8" s="889" t="s">
        <v>788</v>
      </c>
      <c r="G8" s="889" t="s">
        <v>269</v>
      </c>
      <c r="H8" s="889" t="s">
        <v>788</v>
      </c>
      <c r="I8" s="889" t="s">
        <v>269</v>
      </c>
      <c r="J8" s="1879"/>
      <c r="K8" s="891" t="s">
        <v>271</v>
      </c>
      <c r="L8" s="891" t="s">
        <v>246</v>
      </c>
      <c r="M8" s="891" t="s">
        <v>272</v>
      </c>
      <c r="N8" s="891" t="s">
        <v>271</v>
      </c>
      <c r="O8" s="891" t="s">
        <v>273</v>
      </c>
      <c r="P8" s="891" t="s">
        <v>274</v>
      </c>
      <c r="Q8" s="1879"/>
      <c r="R8" s="1879"/>
      <c r="S8" s="1879"/>
      <c r="T8" s="1879"/>
    </row>
    <row r="9" spans="1:20" ht="23.25" customHeight="1">
      <c r="A9" s="1883" t="s">
        <v>6</v>
      </c>
      <c r="B9" s="1884"/>
      <c r="C9" s="892">
        <v>1</v>
      </c>
      <c r="D9" s="892">
        <v>2</v>
      </c>
      <c r="E9" s="892">
        <v>3</v>
      </c>
      <c r="F9" s="892">
        <v>4</v>
      </c>
      <c r="G9" s="892">
        <v>5</v>
      </c>
      <c r="H9" s="892">
        <v>6</v>
      </c>
      <c r="I9" s="892">
        <v>7</v>
      </c>
      <c r="J9" s="892">
        <v>8</v>
      </c>
      <c r="K9" s="892">
        <v>9</v>
      </c>
      <c r="L9" s="892">
        <v>10</v>
      </c>
      <c r="M9" s="892">
        <v>11</v>
      </c>
      <c r="N9" s="892">
        <v>12</v>
      </c>
      <c r="O9" s="892">
        <v>13</v>
      </c>
      <c r="P9" s="892">
        <v>14</v>
      </c>
      <c r="Q9" s="892">
        <v>15</v>
      </c>
      <c r="R9" s="892">
        <v>16</v>
      </c>
      <c r="S9" s="892">
        <v>17</v>
      </c>
      <c r="T9" s="892">
        <v>18</v>
      </c>
    </row>
    <row r="10" spans="1:32" s="1065" customFormat="1" ht="17.25" customHeight="1">
      <c r="A10" s="1910" t="s">
        <v>789</v>
      </c>
      <c r="B10" s="1911"/>
      <c r="C10" s="1138">
        <f>SUM(C11:C12)</f>
        <v>91</v>
      </c>
      <c r="D10" s="1138">
        <f>SUM(D11:D12)</f>
        <v>5</v>
      </c>
      <c r="E10" s="1138">
        <f>SUM(E11:E12)</f>
        <v>0</v>
      </c>
      <c r="F10" s="1138">
        <f aca="true" t="shared" si="0" ref="F10:T10">SUM(F11:F12)</f>
        <v>68</v>
      </c>
      <c r="G10" s="1138">
        <f t="shared" si="0"/>
        <v>14</v>
      </c>
      <c r="H10" s="1138">
        <f t="shared" si="0"/>
        <v>1</v>
      </c>
      <c r="I10" s="1138">
        <f t="shared" si="0"/>
        <v>3</v>
      </c>
      <c r="J10" s="1138">
        <f t="shared" si="0"/>
        <v>0</v>
      </c>
      <c r="K10" s="1138">
        <f t="shared" si="0"/>
        <v>2</v>
      </c>
      <c r="L10" s="1138">
        <f t="shared" si="0"/>
        <v>23</v>
      </c>
      <c r="M10" s="1138">
        <f t="shared" si="0"/>
        <v>51</v>
      </c>
      <c r="N10" s="1138">
        <f t="shared" si="0"/>
        <v>13</v>
      </c>
      <c r="O10" s="1138">
        <f t="shared" si="0"/>
        <v>51</v>
      </c>
      <c r="P10" s="1138">
        <f t="shared" si="0"/>
        <v>0</v>
      </c>
      <c r="Q10" s="1138">
        <f t="shared" si="0"/>
        <v>60</v>
      </c>
      <c r="R10" s="1138">
        <f t="shared" si="0"/>
        <v>0</v>
      </c>
      <c r="S10" s="1138">
        <f t="shared" si="0"/>
        <v>7</v>
      </c>
      <c r="T10" s="1138">
        <f t="shared" si="0"/>
        <v>11</v>
      </c>
      <c r="AF10" s="1065">
        <f>AC11-AC12</f>
        <v>0</v>
      </c>
    </row>
    <row r="11" spans="1:37" s="1068" customFormat="1" ht="19.5" customHeight="1">
      <c r="A11" s="1066" t="s">
        <v>0</v>
      </c>
      <c r="B11" s="1067" t="s">
        <v>705</v>
      </c>
      <c r="C11" s="1208">
        <v>25</v>
      </c>
      <c r="D11" s="1208">
        <v>1</v>
      </c>
      <c r="E11" s="1209"/>
      <c r="F11" s="1208">
        <v>20</v>
      </c>
      <c r="G11" s="1208">
        <v>3</v>
      </c>
      <c r="H11" s="1209"/>
      <c r="I11" s="1208">
        <v>1</v>
      </c>
      <c r="J11" s="1208"/>
      <c r="K11" s="1208">
        <v>2</v>
      </c>
      <c r="L11" s="1208">
        <v>10</v>
      </c>
      <c r="M11" s="1208">
        <v>10</v>
      </c>
      <c r="N11" s="1208">
        <v>7</v>
      </c>
      <c r="O11" s="1208">
        <v>12</v>
      </c>
      <c r="P11" s="1208"/>
      <c r="Q11" s="1208">
        <v>16</v>
      </c>
      <c r="R11" s="1208"/>
      <c r="S11" s="1208">
        <v>3</v>
      </c>
      <c r="T11" s="1208">
        <v>2</v>
      </c>
      <c r="AK11" s="1069"/>
    </row>
    <row r="12" spans="1:20" s="1037" customFormat="1" ht="24" customHeight="1">
      <c r="A12" s="1070" t="s">
        <v>1</v>
      </c>
      <c r="B12" s="1071" t="s">
        <v>18</v>
      </c>
      <c r="C12" s="1138">
        <f aca="true" t="shared" si="1" ref="C12:T12">SUM(C13:C19)</f>
        <v>66</v>
      </c>
      <c r="D12" s="1138">
        <f t="shared" si="1"/>
        <v>4</v>
      </c>
      <c r="E12" s="1138">
        <f t="shared" si="1"/>
        <v>0</v>
      </c>
      <c r="F12" s="1138">
        <f t="shared" si="1"/>
        <v>48</v>
      </c>
      <c r="G12" s="1138">
        <f t="shared" si="1"/>
        <v>11</v>
      </c>
      <c r="H12" s="1138">
        <f t="shared" si="1"/>
        <v>1</v>
      </c>
      <c r="I12" s="1138">
        <f t="shared" si="1"/>
        <v>2</v>
      </c>
      <c r="J12" s="1138">
        <f t="shared" si="1"/>
        <v>0</v>
      </c>
      <c r="K12" s="1138">
        <f t="shared" si="1"/>
        <v>0</v>
      </c>
      <c r="L12" s="1138">
        <f t="shared" si="1"/>
        <v>13</v>
      </c>
      <c r="M12" s="1138">
        <f t="shared" si="1"/>
        <v>41</v>
      </c>
      <c r="N12" s="1138">
        <f t="shared" si="1"/>
        <v>6</v>
      </c>
      <c r="O12" s="1138">
        <f t="shared" si="1"/>
        <v>39</v>
      </c>
      <c r="P12" s="1138">
        <f t="shared" si="1"/>
        <v>0</v>
      </c>
      <c r="Q12" s="1138">
        <f t="shared" si="1"/>
        <v>44</v>
      </c>
      <c r="R12" s="1138">
        <f t="shared" si="1"/>
        <v>0</v>
      </c>
      <c r="S12" s="1138">
        <f t="shared" si="1"/>
        <v>4</v>
      </c>
      <c r="T12" s="1138">
        <f t="shared" si="1"/>
        <v>9</v>
      </c>
    </row>
    <row r="13" spans="1:38" s="648" customFormat="1" ht="24" customHeight="1">
      <c r="A13" s="891">
        <v>1</v>
      </c>
      <c r="B13" s="895" t="s">
        <v>771</v>
      </c>
      <c r="C13" s="891">
        <v>14</v>
      </c>
      <c r="D13" s="891">
        <v>2</v>
      </c>
      <c r="E13" s="891"/>
      <c r="F13" s="891">
        <v>10</v>
      </c>
      <c r="G13" s="891">
        <v>2</v>
      </c>
      <c r="H13" s="891"/>
      <c r="I13" s="891"/>
      <c r="J13" s="891"/>
      <c r="K13" s="891"/>
      <c r="L13" s="891">
        <v>2</v>
      </c>
      <c r="M13" s="891">
        <v>10</v>
      </c>
      <c r="N13" s="891">
        <v>3</v>
      </c>
      <c r="O13" s="891">
        <v>6</v>
      </c>
      <c r="P13" s="891"/>
      <c r="Q13" s="891">
        <v>10</v>
      </c>
      <c r="R13" s="891"/>
      <c r="S13" s="891">
        <v>1</v>
      </c>
      <c r="T13" s="891">
        <v>2</v>
      </c>
      <c r="AL13" s="657"/>
    </row>
    <row r="14" spans="1:32" s="648" customFormat="1" ht="24" customHeight="1">
      <c r="A14" s="891">
        <v>2</v>
      </c>
      <c r="B14" s="895" t="s">
        <v>772</v>
      </c>
      <c r="C14" s="891">
        <v>12</v>
      </c>
      <c r="D14" s="891"/>
      <c r="E14" s="891"/>
      <c r="F14" s="891">
        <v>11</v>
      </c>
      <c r="G14" s="891">
        <v>1</v>
      </c>
      <c r="H14" s="891"/>
      <c r="I14" s="891"/>
      <c r="J14" s="891"/>
      <c r="K14" s="891"/>
      <c r="L14" s="891">
        <v>2</v>
      </c>
      <c r="M14" s="891">
        <v>10</v>
      </c>
      <c r="N14" s="891"/>
      <c r="O14" s="891">
        <v>9</v>
      </c>
      <c r="P14" s="891"/>
      <c r="Q14" s="891">
        <v>9</v>
      </c>
      <c r="R14" s="891"/>
      <c r="S14" s="891">
        <v>1</v>
      </c>
      <c r="T14" s="891">
        <v>1</v>
      </c>
      <c r="AF14" s="657" t="e">
        <f>(R14-D14)/D14</f>
        <v>#DIV/0!</v>
      </c>
    </row>
    <row r="15" spans="1:20" s="648" customFormat="1" ht="24" customHeight="1">
      <c r="A15" s="891">
        <v>3</v>
      </c>
      <c r="B15" s="895" t="s">
        <v>773</v>
      </c>
      <c r="C15" s="891">
        <v>12</v>
      </c>
      <c r="D15" s="891">
        <v>1</v>
      </c>
      <c r="E15" s="891"/>
      <c r="F15" s="891">
        <v>7</v>
      </c>
      <c r="G15" s="891">
        <v>3</v>
      </c>
      <c r="H15" s="891">
        <v>1</v>
      </c>
      <c r="I15" s="891"/>
      <c r="J15" s="891"/>
      <c r="K15" s="891"/>
      <c r="L15" s="891">
        <v>2</v>
      </c>
      <c r="M15" s="891">
        <v>6</v>
      </c>
      <c r="N15" s="891">
        <v>1</v>
      </c>
      <c r="O15" s="891">
        <v>8</v>
      </c>
      <c r="P15" s="891"/>
      <c r="Q15" s="891">
        <v>8</v>
      </c>
      <c r="R15" s="891"/>
      <c r="S15" s="891"/>
      <c r="T15" s="891">
        <v>2</v>
      </c>
    </row>
    <row r="16" spans="1:20" s="648" customFormat="1" ht="24" customHeight="1">
      <c r="A16" s="891">
        <v>4</v>
      </c>
      <c r="B16" s="895" t="s">
        <v>774</v>
      </c>
      <c r="C16" s="891">
        <v>8</v>
      </c>
      <c r="D16" s="891">
        <v>1</v>
      </c>
      <c r="E16" s="891"/>
      <c r="F16" s="891">
        <v>5</v>
      </c>
      <c r="G16" s="891">
        <v>2</v>
      </c>
      <c r="H16" s="891"/>
      <c r="I16" s="891"/>
      <c r="J16" s="891"/>
      <c r="K16" s="891"/>
      <c r="L16" s="891">
        <v>2</v>
      </c>
      <c r="M16" s="891">
        <v>6</v>
      </c>
      <c r="N16" s="891"/>
      <c r="O16" s="891">
        <v>6</v>
      </c>
      <c r="P16" s="891"/>
      <c r="Q16" s="891">
        <v>6</v>
      </c>
      <c r="R16" s="891"/>
      <c r="S16" s="891"/>
      <c r="T16" s="891">
        <v>1</v>
      </c>
    </row>
    <row r="17" spans="1:20" s="648" customFormat="1" ht="24" customHeight="1">
      <c r="A17" s="891">
        <v>5</v>
      </c>
      <c r="B17" s="895" t="s">
        <v>775</v>
      </c>
      <c r="C17" s="891">
        <v>9</v>
      </c>
      <c r="D17" s="891"/>
      <c r="E17" s="891"/>
      <c r="F17" s="891">
        <v>8</v>
      </c>
      <c r="G17" s="891">
        <v>1</v>
      </c>
      <c r="H17" s="891"/>
      <c r="I17" s="891"/>
      <c r="J17" s="891"/>
      <c r="K17" s="891"/>
      <c r="L17" s="891">
        <v>2</v>
      </c>
      <c r="M17" s="891">
        <v>5</v>
      </c>
      <c r="N17" s="891">
        <v>1</v>
      </c>
      <c r="O17" s="891">
        <v>3</v>
      </c>
      <c r="P17" s="891"/>
      <c r="Q17" s="891">
        <v>6</v>
      </c>
      <c r="R17" s="891"/>
      <c r="S17" s="891">
        <v>1</v>
      </c>
      <c r="T17" s="891">
        <v>1</v>
      </c>
    </row>
    <row r="18" spans="1:39" s="648" customFormat="1" ht="24" customHeight="1">
      <c r="A18" s="891">
        <v>6</v>
      </c>
      <c r="B18" s="895" t="s">
        <v>776</v>
      </c>
      <c r="C18" s="891">
        <v>6</v>
      </c>
      <c r="D18" s="891"/>
      <c r="E18" s="891"/>
      <c r="F18" s="891">
        <v>4</v>
      </c>
      <c r="G18" s="891">
        <v>2</v>
      </c>
      <c r="H18" s="891"/>
      <c r="I18" s="891"/>
      <c r="J18" s="891"/>
      <c r="K18" s="891"/>
      <c r="L18" s="891">
        <v>2</v>
      </c>
      <c r="M18" s="891">
        <v>3</v>
      </c>
      <c r="N18" s="891">
        <v>1</v>
      </c>
      <c r="O18" s="891">
        <v>4</v>
      </c>
      <c r="P18" s="891"/>
      <c r="Q18" s="891">
        <v>3</v>
      </c>
      <c r="R18" s="891"/>
      <c r="S18" s="891"/>
      <c r="T18" s="891">
        <v>1</v>
      </c>
      <c r="AJ18" s="648">
        <f>AI17-AI18</f>
        <v>0</v>
      </c>
      <c r="AK18" s="648">
        <v>1653</v>
      </c>
      <c r="AL18" s="648">
        <f>AI17-AK18</f>
        <v>-1653</v>
      </c>
      <c r="AM18" s="657" t="e">
        <f>AL18/AI17</f>
        <v>#DIV/0!</v>
      </c>
    </row>
    <row r="19" spans="1:39" s="648" customFormat="1" ht="24" customHeight="1">
      <c r="A19" s="891">
        <v>7</v>
      </c>
      <c r="B19" s="895" t="s">
        <v>777</v>
      </c>
      <c r="C19" s="891">
        <v>5</v>
      </c>
      <c r="D19" s="891"/>
      <c r="E19" s="891"/>
      <c r="F19" s="891">
        <v>3</v>
      </c>
      <c r="G19" s="891"/>
      <c r="H19" s="891"/>
      <c r="I19" s="891">
        <v>2</v>
      </c>
      <c r="J19" s="891"/>
      <c r="K19" s="891"/>
      <c r="L19" s="891">
        <v>1</v>
      </c>
      <c r="M19" s="891">
        <v>1</v>
      </c>
      <c r="N19" s="891"/>
      <c r="O19" s="891">
        <v>3</v>
      </c>
      <c r="P19" s="891"/>
      <c r="Q19" s="891">
        <v>2</v>
      </c>
      <c r="R19" s="891"/>
      <c r="S19" s="891">
        <v>1</v>
      </c>
      <c r="T19" s="891">
        <v>1</v>
      </c>
      <c r="AM19" s="657" t="e">
        <f>AN17-AM18</f>
        <v>#DIV/0!</v>
      </c>
    </row>
    <row r="20" spans="1:20" ht="15.75" customHeight="1">
      <c r="A20" s="660"/>
      <c r="B20" s="1835"/>
      <c r="C20" s="1835"/>
      <c r="D20" s="1835"/>
      <c r="E20" s="1835"/>
      <c r="F20" s="1835"/>
      <c r="G20" s="693"/>
      <c r="H20" s="693"/>
      <c r="I20" s="693"/>
      <c r="J20" s="693"/>
      <c r="K20" s="693"/>
      <c r="L20" s="753"/>
      <c r="M20" s="1908" t="str">
        <f>'Thong tin'!B8</f>
        <v>Tuyên Quang, ngày 05 tháng 04 năm 2018</v>
      </c>
      <c r="N20" s="1908"/>
      <c r="O20" s="1908"/>
      <c r="P20" s="1908"/>
      <c r="Q20" s="1908"/>
      <c r="R20" s="1908"/>
      <c r="S20" s="1908"/>
      <c r="T20" s="1908"/>
    </row>
    <row r="21" spans="1:20" ht="18.75" customHeight="1">
      <c r="A21" s="660"/>
      <c r="B21" s="1836" t="s">
        <v>248</v>
      </c>
      <c r="C21" s="1836"/>
      <c r="D21" s="1836"/>
      <c r="E21" s="1836"/>
      <c r="F21" s="664"/>
      <c r="G21" s="664"/>
      <c r="H21" s="664"/>
      <c r="I21" s="664"/>
      <c r="J21" s="664"/>
      <c r="K21" s="664"/>
      <c r="L21" s="753"/>
      <c r="M21" s="1827" t="str">
        <f>'Thong tin'!B7</f>
        <v>CỤC TRƯỞNG</v>
      </c>
      <c r="N21" s="1827"/>
      <c r="O21" s="1827"/>
      <c r="P21" s="1827"/>
      <c r="Q21" s="1827"/>
      <c r="R21" s="1827"/>
      <c r="S21" s="1827"/>
      <c r="T21" s="1827"/>
    </row>
    <row r="22" spans="1:20" ht="18.75">
      <c r="A22" s="668"/>
      <c r="B22" s="1826"/>
      <c r="C22" s="1826"/>
      <c r="D22" s="1826"/>
      <c r="E22" s="1826"/>
      <c r="F22" s="755"/>
      <c r="G22" s="755"/>
      <c r="H22" s="755"/>
      <c r="I22" s="755"/>
      <c r="J22" s="755"/>
      <c r="K22" s="755"/>
      <c r="L22" s="755"/>
      <c r="M22" s="1827"/>
      <c r="N22" s="1827"/>
      <c r="O22" s="1827"/>
      <c r="P22" s="1827"/>
      <c r="Q22" s="1827"/>
      <c r="R22" s="1827"/>
      <c r="S22" s="1827"/>
      <c r="T22" s="1827"/>
    </row>
    <row r="23" spans="1:20" ht="18.75">
      <c r="A23" s="668"/>
      <c r="B23" s="755"/>
      <c r="C23" s="755"/>
      <c r="D23" s="755"/>
      <c r="E23" s="755"/>
      <c r="F23" s="755"/>
      <c r="G23" s="755"/>
      <c r="H23" s="755"/>
      <c r="I23" s="755"/>
      <c r="J23" s="755"/>
      <c r="K23" s="755"/>
      <c r="L23" s="755"/>
      <c r="M23" s="755"/>
      <c r="N23" s="755"/>
      <c r="O23" s="755"/>
      <c r="P23" s="755"/>
      <c r="Q23" s="755"/>
      <c r="R23" s="753"/>
      <c r="S23" s="753"/>
      <c r="T23" s="753"/>
    </row>
    <row r="24" spans="2:20" ht="18">
      <c r="B24" s="1909"/>
      <c r="C24" s="1909"/>
      <c r="D24" s="1909"/>
      <c r="E24" s="1909"/>
      <c r="F24" s="1909"/>
      <c r="G24" s="764"/>
      <c r="H24" s="764"/>
      <c r="I24" s="764"/>
      <c r="J24" s="764"/>
      <c r="K24" s="764"/>
      <c r="L24" s="764"/>
      <c r="M24" s="764"/>
      <c r="N24" s="1909"/>
      <c r="O24" s="1909"/>
      <c r="P24" s="1909"/>
      <c r="Q24" s="1909"/>
      <c r="R24" s="1909"/>
      <c r="S24" s="1909"/>
      <c r="T24" s="753"/>
    </row>
    <row r="25" spans="2:20" ht="18">
      <c r="B25" s="753"/>
      <c r="C25" s="753"/>
      <c r="D25" s="753"/>
      <c r="E25" s="753"/>
      <c r="F25" s="753"/>
      <c r="G25" s="753"/>
      <c r="H25" s="753"/>
      <c r="I25" s="753"/>
      <c r="J25" s="753"/>
      <c r="K25" s="753"/>
      <c r="L25" s="753"/>
      <c r="M25" s="753"/>
      <c r="N25" s="753"/>
      <c r="O25" s="753"/>
      <c r="P25" s="753"/>
      <c r="Q25" s="753"/>
      <c r="R25" s="753"/>
      <c r="S25" s="753"/>
      <c r="T25" s="753"/>
    </row>
    <row r="26" spans="2:20" ht="18.75">
      <c r="B26" s="1731" t="str">
        <f>'Thong tin'!B5</f>
        <v>Duy Thị Thúy</v>
      </c>
      <c r="C26" s="1731"/>
      <c r="D26" s="1731"/>
      <c r="E26" s="1731"/>
      <c r="F26" s="765"/>
      <c r="G26" s="765"/>
      <c r="H26" s="765"/>
      <c r="I26" s="753"/>
      <c r="J26" s="753"/>
      <c r="K26" s="753"/>
      <c r="L26" s="753"/>
      <c r="M26" s="1731" t="str">
        <f>'Thong tin'!B6</f>
        <v>Nguyễn Tuyên </v>
      </c>
      <c r="N26" s="1731"/>
      <c r="O26" s="1731"/>
      <c r="P26" s="1731"/>
      <c r="Q26" s="1731"/>
      <c r="R26" s="1731"/>
      <c r="S26" s="1731"/>
      <c r="T26" s="1731"/>
    </row>
    <row r="27" spans="2:20" ht="18.75">
      <c r="B27" s="576"/>
      <c r="C27" s="576"/>
      <c r="D27" s="576"/>
      <c r="E27" s="576"/>
      <c r="F27" s="670"/>
      <c r="G27" s="670"/>
      <c r="H27" s="670"/>
      <c r="I27" s="623"/>
      <c r="J27" s="623"/>
      <c r="K27" s="623"/>
      <c r="L27" s="623"/>
      <c r="M27" s="574"/>
      <c r="N27" s="574"/>
      <c r="O27" s="574"/>
      <c r="P27" s="574"/>
      <c r="Q27" s="574"/>
      <c r="R27" s="574"/>
      <c r="S27" s="574"/>
      <c r="T27" s="574"/>
    </row>
    <row r="28" spans="2:20" ht="18.75">
      <c r="B28" s="576"/>
      <c r="C28" s="576"/>
      <c r="D28" s="576"/>
      <c r="E28" s="576"/>
      <c r="F28" s="670"/>
      <c r="G28" s="670"/>
      <c r="H28" s="670"/>
      <c r="I28" s="623"/>
      <c r="J28" s="623"/>
      <c r="K28" s="623"/>
      <c r="L28" s="623"/>
      <c r="M28" s="574"/>
      <c r="N28" s="574"/>
      <c r="O28" s="574"/>
      <c r="P28" s="574"/>
      <c r="Q28" s="574"/>
      <c r="R28" s="574"/>
      <c r="S28" s="574"/>
      <c r="T28" s="574"/>
    </row>
    <row r="29" s="695" customFormat="1" ht="15" hidden="1">
      <c r="A29" s="694" t="s">
        <v>224</v>
      </c>
    </row>
    <row r="30" spans="2:8" s="696" customFormat="1" ht="15" hidden="1">
      <c r="B30" s="697" t="s">
        <v>276</v>
      </c>
      <c r="C30" s="697"/>
      <c r="D30" s="697"/>
      <c r="E30" s="697"/>
      <c r="F30" s="697"/>
      <c r="G30" s="697"/>
      <c r="H30" s="697"/>
    </row>
    <row r="31" spans="2:8" s="698" customFormat="1" ht="15" hidden="1">
      <c r="B31" s="697" t="s">
        <v>277</v>
      </c>
      <c r="C31" s="631"/>
      <c r="D31" s="631"/>
      <c r="E31" s="631"/>
      <c r="F31" s="631"/>
      <c r="G31" s="631"/>
      <c r="H31" s="631"/>
    </row>
    <row r="32" ht="12.75" hidden="1"/>
    <row r="33" ht="12.75" hidden="1"/>
    <row r="34" ht="12.75" hidden="1"/>
    <row r="35" ht="12.75" hidden="1"/>
    <row r="36" ht="12.75" hidden="1"/>
  </sheetData>
  <sheetProtection/>
  <mergeCells count="39">
    <mergeCell ref="C5:C8"/>
    <mergeCell ref="J7:J8"/>
    <mergeCell ref="K7:M7"/>
    <mergeCell ref="N7:P7"/>
    <mergeCell ref="Q7:Q8"/>
    <mergeCell ref="R7:R8"/>
    <mergeCell ref="D5:J5"/>
    <mergeCell ref="A1:C1"/>
    <mergeCell ref="E1:N1"/>
    <mergeCell ref="P1:T1"/>
    <mergeCell ref="A2:D2"/>
    <mergeCell ref="E2:N2"/>
    <mergeCell ref="P2:T2"/>
    <mergeCell ref="A3:C3"/>
    <mergeCell ref="E3:N3"/>
    <mergeCell ref="P3:T3"/>
    <mergeCell ref="A4:C4"/>
    <mergeCell ref="D4:N4"/>
    <mergeCell ref="P4:T4"/>
    <mergeCell ref="A5:B8"/>
    <mergeCell ref="A10:B10"/>
    <mergeCell ref="K5:T6"/>
    <mergeCell ref="D6:J6"/>
    <mergeCell ref="D7:E7"/>
    <mergeCell ref="F7:G7"/>
    <mergeCell ref="H7:I7"/>
    <mergeCell ref="S7:S8"/>
    <mergeCell ref="T7:T8"/>
    <mergeCell ref="A9:B9"/>
    <mergeCell ref="M20:T20"/>
    <mergeCell ref="B26:E26"/>
    <mergeCell ref="M26:T26"/>
    <mergeCell ref="B21:E21"/>
    <mergeCell ref="M21:T21"/>
    <mergeCell ref="B22:E22"/>
    <mergeCell ref="M22:T22"/>
    <mergeCell ref="B24:F24"/>
    <mergeCell ref="N24:S24"/>
    <mergeCell ref="B20:F20"/>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5"/>
  <sheetViews>
    <sheetView zoomScaleSheetLayoutView="85" zoomScalePageLayoutView="0" workbookViewId="0" topLeftCell="A1">
      <selection activeCell="J17" sqref="J17"/>
    </sheetView>
  </sheetViews>
  <sheetFormatPr defaultColWidth="9.00390625" defaultRowHeight="15.75"/>
  <cols>
    <col min="1" max="1" width="4.75390625" style="700" customWidth="1"/>
    <col min="2" max="2" width="26.125" style="700" customWidth="1"/>
    <col min="3" max="3" width="10.125" style="699" customWidth="1"/>
    <col min="4" max="7" width="8.00390625" style="699" customWidth="1"/>
    <col min="8" max="8" width="12.125" style="699" customWidth="1"/>
    <col min="9" max="9" width="9.75390625" style="699" customWidth="1"/>
    <col min="10" max="10" width="11.125" style="699" customWidth="1"/>
    <col min="11" max="11" width="15.25390625" style="699" customWidth="1"/>
    <col min="12" max="12" width="11.125" style="699" customWidth="1"/>
    <col min="13" max="16384" width="9.00390625" style="699" customWidth="1"/>
  </cols>
  <sheetData>
    <row r="1" spans="1:12" ht="21" customHeight="1">
      <c r="A1" s="1925" t="s">
        <v>278</v>
      </c>
      <c r="B1" s="1925"/>
      <c r="C1" s="1925"/>
      <c r="D1" s="1844" t="s">
        <v>657</v>
      </c>
      <c r="E1" s="1844"/>
      <c r="F1" s="1844"/>
      <c r="G1" s="1844"/>
      <c r="H1" s="1844"/>
      <c r="I1" s="1844"/>
      <c r="J1" s="1926" t="s">
        <v>658</v>
      </c>
      <c r="K1" s="1927"/>
      <c r="L1" s="1927"/>
    </row>
    <row r="2" spans="1:12" ht="15.75" customHeight="1">
      <c r="A2" s="1928" t="s">
        <v>718</v>
      </c>
      <c r="B2" s="1928"/>
      <c r="C2" s="1928"/>
      <c r="D2" s="1844"/>
      <c r="E2" s="1844"/>
      <c r="F2" s="1844"/>
      <c r="G2" s="1844"/>
      <c r="H2" s="1844"/>
      <c r="I2" s="1844"/>
      <c r="J2" s="1934" t="str">
        <f>'Thong tin'!B4</f>
        <v>Cục THADS tỉnh Tuyên Quang</v>
      </c>
      <c r="K2" s="1934"/>
      <c r="L2" s="1934"/>
    </row>
    <row r="3" spans="1:12" ht="18.75" customHeight="1">
      <c r="A3" s="1933" t="s">
        <v>343</v>
      </c>
      <c r="B3" s="1933"/>
      <c r="C3" s="1933"/>
      <c r="D3" s="1935" t="str">
        <f>'Thong tin'!B3</f>
        <v>06 tháng / năm 2018</v>
      </c>
      <c r="E3" s="1935"/>
      <c r="F3" s="1935"/>
      <c r="G3" s="1935"/>
      <c r="H3" s="1935"/>
      <c r="I3" s="1935"/>
      <c r="J3" s="1936" t="s">
        <v>659</v>
      </c>
      <c r="K3" s="1937"/>
      <c r="L3" s="1937"/>
    </row>
    <row r="4" spans="1:12" ht="16.5" customHeight="1">
      <c r="A4" s="771" t="s">
        <v>362</v>
      </c>
      <c r="B4" s="772"/>
      <c r="C4" s="773"/>
      <c r="D4" s="766"/>
      <c r="E4" s="766"/>
      <c r="F4" s="766"/>
      <c r="G4" s="766"/>
      <c r="H4" s="766"/>
      <c r="I4" s="766"/>
      <c r="J4" s="1938" t="s">
        <v>410</v>
      </c>
      <c r="K4" s="1939"/>
      <c r="L4" s="1939"/>
    </row>
    <row r="5" spans="3:12" ht="15.75" customHeight="1">
      <c r="C5" s="786"/>
      <c r="D5" s="786"/>
      <c r="H5" s="787"/>
      <c r="I5" s="787"/>
      <c r="J5" s="1940" t="s">
        <v>279</v>
      </c>
      <c r="K5" s="1940"/>
      <c r="L5" s="1940"/>
    </row>
    <row r="6" spans="2:12" ht="0.75" customHeight="1">
      <c r="B6" s="789"/>
      <c r="C6" s="786"/>
      <c r="D6" s="786"/>
      <c r="E6" s="790"/>
      <c r="F6" s="790"/>
      <c r="G6" s="790"/>
      <c r="H6" s="787"/>
      <c r="I6" s="787"/>
      <c r="J6" s="788"/>
      <c r="K6" s="788"/>
      <c r="L6" s="788"/>
    </row>
    <row r="7" spans="3:12" ht="0.75" customHeight="1">
      <c r="C7" s="701"/>
      <c r="D7" s="701"/>
      <c r="H7" s="702"/>
      <c r="I7" s="702"/>
      <c r="J7" s="785"/>
      <c r="K7" s="785"/>
      <c r="L7" s="785"/>
    </row>
    <row r="8" spans="1:12" ht="22.5" customHeight="1">
      <c r="A8" s="1931" t="s">
        <v>71</v>
      </c>
      <c r="B8" s="1931"/>
      <c r="C8" s="1932" t="s">
        <v>37</v>
      </c>
      <c r="D8" s="1932" t="s">
        <v>280</v>
      </c>
      <c r="E8" s="1932"/>
      <c r="F8" s="1932"/>
      <c r="G8" s="1932"/>
      <c r="H8" s="1932" t="s">
        <v>281</v>
      </c>
      <c r="I8" s="1932"/>
      <c r="J8" s="1932" t="s">
        <v>282</v>
      </c>
      <c r="K8" s="1932"/>
      <c r="L8" s="1932"/>
    </row>
    <row r="9" spans="1:12" ht="54.75" customHeight="1">
      <c r="A9" s="1931"/>
      <c r="B9" s="1931"/>
      <c r="C9" s="1932"/>
      <c r="D9" s="677" t="s">
        <v>283</v>
      </c>
      <c r="E9" s="677" t="s">
        <v>284</v>
      </c>
      <c r="F9" s="677" t="s">
        <v>433</v>
      </c>
      <c r="G9" s="677" t="s">
        <v>285</v>
      </c>
      <c r="H9" s="677" t="s">
        <v>286</v>
      </c>
      <c r="I9" s="677" t="s">
        <v>287</v>
      </c>
      <c r="J9" s="677" t="s">
        <v>288</v>
      </c>
      <c r="K9" s="677" t="s">
        <v>289</v>
      </c>
      <c r="L9" s="677" t="s">
        <v>290</v>
      </c>
    </row>
    <row r="10" spans="1:12" s="703" customFormat="1" ht="16.5" customHeight="1">
      <c r="A10" s="1929" t="s">
        <v>6</v>
      </c>
      <c r="B10" s="1929"/>
      <c r="C10" s="681">
        <v>1</v>
      </c>
      <c r="D10" s="681">
        <v>2</v>
      </c>
      <c r="E10" s="681">
        <v>3</v>
      </c>
      <c r="F10" s="681">
        <v>4</v>
      </c>
      <c r="G10" s="681">
        <v>5</v>
      </c>
      <c r="H10" s="681">
        <v>6</v>
      </c>
      <c r="I10" s="681">
        <v>7</v>
      </c>
      <c r="J10" s="681">
        <v>8</v>
      </c>
      <c r="K10" s="681">
        <v>9</v>
      </c>
      <c r="L10" s="681">
        <v>10</v>
      </c>
    </row>
    <row r="11" spans="1:12" s="1077" customFormat="1" ht="16.5" customHeight="1">
      <c r="A11" s="1930" t="s">
        <v>663</v>
      </c>
      <c r="B11" s="1930"/>
      <c r="C11" s="1076">
        <f>SUM(C12:C13)</f>
        <v>0</v>
      </c>
      <c r="D11" s="1076">
        <f aca="true" t="shared" si="0" ref="D11:L11">SUM(D12:D13)</f>
        <v>0</v>
      </c>
      <c r="E11" s="1076">
        <f t="shared" si="0"/>
        <v>0</v>
      </c>
      <c r="F11" s="1076">
        <f t="shared" si="0"/>
        <v>0</v>
      </c>
      <c r="G11" s="1076">
        <f t="shared" si="0"/>
        <v>0</v>
      </c>
      <c r="H11" s="1076">
        <f t="shared" si="0"/>
        <v>0</v>
      </c>
      <c r="I11" s="1076">
        <f t="shared" si="0"/>
        <v>0</v>
      </c>
      <c r="J11" s="1076">
        <f t="shared" si="0"/>
        <v>0</v>
      </c>
      <c r="K11" s="1076">
        <f t="shared" si="0"/>
        <v>0</v>
      </c>
      <c r="L11" s="1076">
        <f t="shared" si="0"/>
        <v>0</v>
      </c>
    </row>
    <row r="12" spans="1:12" s="1082" customFormat="1" ht="16.5" customHeight="1">
      <c r="A12" s="1078" t="s">
        <v>0</v>
      </c>
      <c r="B12" s="1079" t="s">
        <v>291</v>
      </c>
      <c r="C12" s="1080">
        <f>SUM(D12:G12)</f>
        <v>0</v>
      </c>
      <c r="D12" s="1080"/>
      <c r="E12" s="1080"/>
      <c r="F12" s="1080"/>
      <c r="G12" s="1080"/>
      <c r="H12" s="1080"/>
      <c r="I12" s="1080"/>
      <c r="J12" s="1081"/>
      <c r="K12" s="1081"/>
      <c r="L12" s="1081" t="s">
        <v>585</v>
      </c>
    </row>
    <row r="13" spans="1:12" s="1086" customFormat="1" ht="26.25" customHeight="1">
      <c r="A13" s="1083" t="s">
        <v>1</v>
      </c>
      <c r="B13" s="1084" t="s">
        <v>18</v>
      </c>
      <c r="C13" s="1085">
        <f>SUM(C14:C20)</f>
        <v>0</v>
      </c>
      <c r="D13" s="1085">
        <f aca="true" t="shared" si="1" ref="D13:L13">SUM(D14:D20)</f>
        <v>0</v>
      </c>
      <c r="E13" s="1085">
        <f t="shared" si="1"/>
        <v>0</v>
      </c>
      <c r="F13" s="1085">
        <f t="shared" si="1"/>
        <v>0</v>
      </c>
      <c r="G13" s="1085">
        <f t="shared" si="1"/>
        <v>0</v>
      </c>
      <c r="H13" s="1085">
        <f t="shared" si="1"/>
        <v>0</v>
      </c>
      <c r="I13" s="1085">
        <f t="shared" si="1"/>
        <v>0</v>
      </c>
      <c r="J13" s="1085">
        <f t="shared" si="1"/>
        <v>0</v>
      </c>
      <c r="K13" s="1085">
        <f t="shared" si="1"/>
        <v>0</v>
      </c>
      <c r="L13" s="1085">
        <f t="shared" si="1"/>
        <v>0</v>
      </c>
    </row>
    <row r="14" spans="1:12" s="1073" customFormat="1" ht="26.25" customHeight="1">
      <c r="A14" s="1072">
        <v>1</v>
      </c>
      <c r="B14" s="1017" t="s">
        <v>709</v>
      </c>
      <c r="C14" s="1087">
        <f aca="true" t="shared" si="2" ref="C14:C20">SUM(D14:G14)</f>
        <v>0</v>
      </c>
      <c r="D14" s="1087"/>
      <c r="E14" s="1087"/>
      <c r="F14" s="1087"/>
      <c r="G14" s="1087"/>
      <c r="H14" s="1087"/>
      <c r="I14" s="1087"/>
      <c r="J14" s="1088"/>
      <c r="K14" s="1088"/>
      <c r="L14" s="1088"/>
    </row>
    <row r="15" spans="1:12" s="1073" customFormat="1" ht="26.25" customHeight="1">
      <c r="A15" s="1072">
        <v>2</v>
      </c>
      <c r="B15" s="1017" t="s">
        <v>710</v>
      </c>
      <c r="C15" s="1087">
        <f t="shared" si="2"/>
        <v>0</v>
      </c>
      <c r="D15" s="1087"/>
      <c r="E15" s="1087"/>
      <c r="F15" s="1087"/>
      <c r="G15" s="1087"/>
      <c r="H15" s="1087"/>
      <c r="I15" s="1087"/>
      <c r="J15" s="1088"/>
      <c r="K15" s="1088"/>
      <c r="L15" s="1088"/>
    </row>
    <row r="16" spans="1:12" s="1073" customFormat="1" ht="26.25" customHeight="1">
      <c r="A16" s="1072">
        <v>3</v>
      </c>
      <c r="B16" s="1017" t="s">
        <v>711</v>
      </c>
      <c r="C16" s="1087">
        <f t="shared" si="2"/>
        <v>0</v>
      </c>
      <c r="D16" s="1087"/>
      <c r="E16" s="1087"/>
      <c r="F16" s="1087"/>
      <c r="G16" s="1087"/>
      <c r="H16" s="1087"/>
      <c r="I16" s="1087"/>
      <c r="J16" s="1088"/>
      <c r="K16" s="1088"/>
      <c r="L16" s="1088"/>
    </row>
    <row r="17" spans="1:12" s="1073" customFormat="1" ht="26.25" customHeight="1">
      <c r="A17" s="1072">
        <v>4</v>
      </c>
      <c r="B17" s="1017" t="s">
        <v>712</v>
      </c>
      <c r="C17" s="1087">
        <f t="shared" si="2"/>
        <v>0</v>
      </c>
      <c r="D17" s="1087"/>
      <c r="E17" s="1087"/>
      <c r="F17" s="1087"/>
      <c r="G17" s="1087"/>
      <c r="H17" s="1087"/>
      <c r="I17" s="1087"/>
      <c r="J17" s="1088"/>
      <c r="K17" s="1088"/>
      <c r="L17" s="1088"/>
    </row>
    <row r="18" spans="1:12" s="703" customFormat="1" ht="26.25" customHeight="1">
      <c r="A18" s="704">
        <v>5</v>
      </c>
      <c r="B18" s="816" t="s">
        <v>713</v>
      </c>
      <c r="C18" s="1089">
        <f t="shared" si="2"/>
        <v>0</v>
      </c>
      <c r="D18" s="1089"/>
      <c r="E18" s="1089"/>
      <c r="F18" s="1089"/>
      <c r="G18" s="1089"/>
      <c r="H18" s="1089"/>
      <c r="I18" s="1089"/>
      <c r="J18" s="1090"/>
      <c r="K18" s="1090"/>
      <c r="L18" s="1090"/>
    </row>
    <row r="19" spans="1:12" s="703" customFormat="1" ht="26.25" customHeight="1">
      <c r="A19" s="704">
        <v>6</v>
      </c>
      <c r="B19" s="816" t="s">
        <v>714</v>
      </c>
      <c r="C19" s="1089">
        <f t="shared" si="2"/>
        <v>0</v>
      </c>
      <c r="D19" s="1089"/>
      <c r="E19" s="1089"/>
      <c r="F19" s="1089"/>
      <c r="G19" s="1089"/>
      <c r="H19" s="1089"/>
      <c r="I19" s="1089"/>
      <c r="J19" s="1090"/>
      <c r="K19" s="1090"/>
      <c r="L19" s="1090"/>
    </row>
    <row r="20" spans="1:12" s="703" customFormat="1" ht="26.25" customHeight="1">
      <c r="A20" s="704">
        <v>7</v>
      </c>
      <c r="B20" s="816" t="s">
        <v>715</v>
      </c>
      <c r="C20" s="1089">
        <f t="shared" si="2"/>
        <v>0</v>
      </c>
      <c r="D20" s="1089"/>
      <c r="E20" s="1089"/>
      <c r="F20" s="1089"/>
      <c r="G20" s="1089"/>
      <c r="H20" s="1089"/>
      <c r="I20" s="1089"/>
      <c r="J20" s="1090"/>
      <c r="K20" s="1090"/>
      <c r="L20" s="1090"/>
    </row>
    <row r="21" ht="15" customHeight="1"/>
    <row r="22" spans="1:12" ht="18" customHeight="1">
      <c r="A22" s="1924"/>
      <c r="B22" s="1924"/>
      <c r="C22" s="1924"/>
      <c r="D22" s="1924"/>
      <c r="E22" s="705"/>
      <c r="F22" s="1908" t="str">
        <f>'Thong tin'!B8</f>
        <v>Tuyên Quang, ngày 05 tháng 04 năm 2018</v>
      </c>
      <c r="G22" s="1908"/>
      <c r="H22" s="1908"/>
      <c r="I22" s="1908"/>
      <c r="J22" s="1908"/>
      <c r="K22" s="1908"/>
      <c r="L22" s="1908"/>
    </row>
    <row r="23" spans="1:16" ht="18" customHeight="1">
      <c r="A23" s="1836" t="s">
        <v>248</v>
      </c>
      <c r="B23" s="1836"/>
      <c r="C23" s="1836"/>
      <c r="D23" s="1836"/>
      <c r="E23" s="664"/>
      <c r="F23" s="1827" t="str">
        <f>'Thong tin'!B7</f>
        <v>CỤC TRƯỞNG</v>
      </c>
      <c r="G23" s="1827"/>
      <c r="H23" s="1827"/>
      <c r="I23" s="1827"/>
      <c r="J23" s="1827"/>
      <c r="K23" s="1827"/>
      <c r="L23" s="1827"/>
      <c r="P23" s="706"/>
    </row>
    <row r="24" spans="1:12" ht="18" customHeight="1">
      <c r="A24" s="1826"/>
      <c r="B24" s="1826"/>
      <c r="C24" s="1826"/>
      <c r="D24" s="1826"/>
      <c r="E24" s="767"/>
      <c r="F24" s="1827"/>
      <c r="G24" s="1827"/>
      <c r="H24" s="1827"/>
      <c r="I24" s="1827"/>
      <c r="J24" s="1827"/>
      <c r="K24" s="1827"/>
      <c r="L24" s="1827"/>
    </row>
    <row r="25" spans="1:12" ht="18" customHeight="1">
      <c r="A25" s="768"/>
      <c r="B25" s="768"/>
      <c r="C25" s="767"/>
      <c r="D25" s="767"/>
      <c r="E25" s="767"/>
      <c r="F25" s="767"/>
      <c r="G25" s="767"/>
      <c r="H25" s="767"/>
      <c r="I25" s="767"/>
      <c r="J25" s="767"/>
      <c r="K25" s="767"/>
      <c r="L25" s="767"/>
    </row>
    <row r="26" spans="1:12" ht="18">
      <c r="A26" s="768"/>
      <c r="B26" s="1923"/>
      <c r="C26" s="1923"/>
      <c r="D26" s="767"/>
      <c r="E26" s="767"/>
      <c r="F26" s="767"/>
      <c r="G26" s="767"/>
      <c r="H26" s="1923"/>
      <c r="I26" s="1923"/>
      <c r="J26" s="1923"/>
      <c r="K26" s="767"/>
      <c r="L26" s="767"/>
    </row>
    <row r="27" spans="1:12" ht="13.5" customHeight="1">
      <c r="A27" s="768"/>
      <c r="B27" s="768"/>
      <c r="C27" s="767"/>
      <c r="D27" s="767"/>
      <c r="E27" s="767"/>
      <c r="F27" s="767"/>
      <c r="G27" s="767"/>
      <c r="H27" s="767"/>
      <c r="I27" s="767"/>
      <c r="J27" s="767"/>
      <c r="K27" s="767"/>
      <c r="L27" s="767"/>
    </row>
    <row r="28" spans="1:12" ht="13.5" customHeight="1" hidden="1">
      <c r="A28" s="768"/>
      <c r="B28" s="768"/>
      <c r="C28" s="767"/>
      <c r="D28" s="767"/>
      <c r="E28" s="767"/>
      <c r="F28" s="767"/>
      <c r="G28" s="767"/>
      <c r="H28" s="767"/>
      <c r="I28" s="767"/>
      <c r="J28" s="767"/>
      <c r="K28" s="767"/>
      <c r="L28" s="767"/>
    </row>
    <row r="29" spans="1:12" s="625" customFormat="1" ht="19.5" hidden="1">
      <c r="A29" s="769" t="s">
        <v>292</v>
      </c>
      <c r="B29" s="754"/>
      <c r="C29" s="755"/>
      <c r="D29" s="755"/>
      <c r="E29" s="755"/>
      <c r="F29" s="755"/>
      <c r="G29" s="755"/>
      <c r="H29" s="755"/>
      <c r="I29" s="755"/>
      <c r="J29" s="755"/>
      <c r="K29" s="755"/>
      <c r="L29" s="755"/>
    </row>
    <row r="30" spans="1:12" s="674" customFormat="1" ht="18.75" hidden="1">
      <c r="A30" s="763"/>
      <c r="B30" s="770" t="s">
        <v>293</v>
      </c>
      <c r="C30" s="770"/>
      <c r="D30" s="770"/>
      <c r="E30" s="762"/>
      <c r="F30" s="762"/>
      <c r="G30" s="762"/>
      <c r="H30" s="762"/>
      <c r="I30" s="762"/>
      <c r="J30" s="762"/>
      <c r="K30" s="762"/>
      <c r="L30" s="762"/>
    </row>
    <row r="31" spans="1:12" s="674" customFormat="1" ht="18.75" hidden="1">
      <c r="A31" s="763"/>
      <c r="B31" s="770" t="s">
        <v>294</v>
      </c>
      <c r="C31" s="770"/>
      <c r="D31" s="770"/>
      <c r="E31" s="770"/>
      <c r="F31" s="762"/>
      <c r="G31" s="762"/>
      <c r="H31" s="762"/>
      <c r="I31" s="762"/>
      <c r="J31" s="762"/>
      <c r="K31" s="762"/>
      <c r="L31" s="762"/>
    </row>
    <row r="32" spans="1:12" s="674" customFormat="1" ht="18.75" hidden="1">
      <c r="A32" s="763"/>
      <c r="B32" s="762" t="s">
        <v>295</v>
      </c>
      <c r="C32" s="762"/>
      <c r="D32" s="762"/>
      <c r="E32" s="762"/>
      <c r="F32" s="762"/>
      <c r="G32" s="762"/>
      <c r="H32" s="762"/>
      <c r="I32" s="762"/>
      <c r="J32" s="762"/>
      <c r="K32" s="762"/>
      <c r="L32" s="762"/>
    </row>
    <row r="33" spans="1:12" ht="18">
      <c r="A33" s="768"/>
      <c r="B33" s="768"/>
      <c r="C33" s="767"/>
      <c r="D33" s="767"/>
      <c r="E33" s="767"/>
      <c r="F33" s="767"/>
      <c r="G33" s="767"/>
      <c r="H33" s="767"/>
      <c r="I33" s="767"/>
      <c r="J33" s="767"/>
      <c r="K33" s="767"/>
      <c r="L33" s="767"/>
    </row>
    <row r="34" spans="1:12" ht="18.75">
      <c r="A34" s="1731" t="str">
        <f>'Thong tin'!B5</f>
        <v>Duy Thị Thúy</v>
      </c>
      <c r="B34" s="1731"/>
      <c r="C34" s="1731"/>
      <c r="D34" s="1731"/>
      <c r="E34" s="765"/>
      <c r="F34" s="1731" t="str">
        <f>'Thong tin'!B6</f>
        <v>Nguyễn Tuyên </v>
      </c>
      <c r="G34" s="1731"/>
      <c r="H34" s="1731"/>
      <c r="I34" s="1731"/>
      <c r="J34" s="1731"/>
      <c r="K34" s="1731"/>
      <c r="L34" s="1731"/>
    </row>
    <row r="35" spans="1:12" ht="18">
      <c r="A35" s="707"/>
      <c r="B35" s="707"/>
      <c r="C35" s="705"/>
      <c r="D35" s="705"/>
      <c r="E35" s="705"/>
      <c r="F35" s="705"/>
      <c r="G35" s="705"/>
      <c r="H35" s="705"/>
      <c r="I35" s="705"/>
      <c r="J35" s="705"/>
      <c r="K35" s="705"/>
      <c r="L35" s="705"/>
    </row>
  </sheetData>
  <sheetProtection/>
  <mergeCells count="27">
    <mergeCell ref="D8:G8"/>
    <mergeCell ref="A3:C3"/>
    <mergeCell ref="J2:L2"/>
    <mergeCell ref="D3:I3"/>
    <mergeCell ref="J3:L3"/>
    <mergeCell ref="J4:L4"/>
    <mergeCell ref="J5:L5"/>
    <mergeCell ref="H8:I8"/>
    <mergeCell ref="J8:L8"/>
    <mergeCell ref="A22:D22"/>
    <mergeCell ref="F22:L22"/>
    <mergeCell ref="A1:C1"/>
    <mergeCell ref="D1:I2"/>
    <mergeCell ref="J1:L1"/>
    <mergeCell ref="A2:C2"/>
    <mergeCell ref="A10:B10"/>
    <mergeCell ref="A11:B11"/>
    <mergeCell ref="A8:B9"/>
    <mergeCell ref="C8:C9"/>
    <mergeCell ref="A34:D34"/>
    <mergeCell ref="F34:L34"/>
    <mergeCell ref="A23:D23"/>
    <mergeCell ref="F23:L23"/>
    <mergeCell ref="A24:D24"/>
    <mergeCell ref="F24:L24"/>
    <mergeCell ref="B26:C26"/>
    <mergeCell ref="H26:J26"/>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8"/>
  <sheetViews>
    <sheetView zoomScaleSheetLayoutView="100" zoomScalePageLayoutView="0" workbookViewId="0" topLeftCell="A12">
      <selection activeCell="F18" sqref="F18"/>
    </sheetView>
  </sheetViews>
  <sheetFormatPr defaultColWidth="9.00390625" defaultRowHeight="15.75"/>
  <cols>
    <col min="1" max="1" width="3.875" style="699" customWidth="1"/>
    <col min="2" max="2" width="25.375" style="699" bestFit="1" customWidth="1"/>
    <col min="3" max="3" width="8.00390625" style="699" customWidth="1"/>
    <col min="4" max="4" width="8.625" style="699" customWidth="1"/>
    <col min="5" max="5" width="8.875" style="699" customWidth="1"/>
    <col min="6" max="6" width="9.375" style="699" customWidth="1"/>
    <col min="7" max="7" width="8.375" style="699" customWidth="1"/>
    <col min="8" max="8" width="10.125" style="699" customWidth="1"/>
    <col min="9" max="10" width="10.625" style="699" customWidth="1"/>
    <col min="11" max="11" width="12.50390625" style="699" customWidth="1"/>
    <col min="12" max="12" width="8.875" style="699" customWidth="1"/>
    <col min="13" max="13" width="10.625" style="699" customWidth="1"/>
    <col min="14" max="16384" width="9.00390625" style="699" customWidth="1"/>
  </cols>
  <sheetData>
    <row r="1" spans="1:13" ht="24" customHeight="1">
      <c r="A1" s="1959" t="s">
        <v>296</v>
      </c>
      <c r="B1" s="1959"/>
      <c r="C1" s="1959"/>
      <c r="D1" s="1844" t="s">
        <v>660</v>
      </c>
      <c r="E1" s="1844"/>
      <c r="F1" s="1844"/>
      <c r="G1" s="1844"/>
      <c r="H1" s="1844"/>
      <c r="I1" s="1844"/>
      <c r="K1" s="774" t="s">
        <v>656</v>
      </c>
      <c r="L1" s="708"/>
      <c r="M1" s="708"/>
    </row>
    <row r="2" spans="1:13" ht="15.75" customHeight="1">
      <c r="A2" s="1960" t="s">
        <v>719</v>
      </c>
      <c r="B2" s="1960"/>
      <c r="C2" s="1960"/>
      <c r="D2" s="1935" t="str">
        <f>'Thong tin'!B3</f>
        <v>06 tháng / năm 2018</v>
      </c>
      <c r="E2" s="1935"/>
      <c r="F2" s="1935"/>
      <c r="G2" s="1935"/>
      <c r="H2" s="1935"/>
      <c r="I2" s="1935"/>
      <c r="K2" s="1947" t="str">
        <f>'Thong tin'!B4</f>
        <v>Cục THADS tỉnh Tuyên Quang</v>
      </c>
      <c r="L2" s="1947"/>
      <c r="M2" s="1947"/>
    </row>
    <row r="3" spans="1:13" ht="18.75" customHeight="1">
      <c r="A3" s="1889" t="s">
        <v>343</v>
      </c>
      <c r="B3" s="1889"/>
      <c r="C3" s="1889"/>
      <c r="D3" s="601"/>
      <c r="E3" s="601"/>
      <c r="F3" s="601"/>
      <c r="G3" s="601"/>
      <c r="H3" s="601"/>
      <c r="I3" s="601"/>
      <c r="K3" s="605" t="s">
        <v>466</v>
      </c>
      <c r="L3" s="605"/>
      <c r="M3" s="605"/>
    </row>
    <row r="4" spans="1:13" ht="15.75" customHeight="1">
      <c r="A4" s="1958" t="s">
        <v>436</v>
      </c>
      <c r="B4" s="1958"/>
      <c r="C4" s="1958"/>
      <c r="D4" s="1948"/>
      <c r="E4" s="1948"/>
      <c r="F4" s="1948"/>
      <c r="G4" s="1948"/>
      <c r="H4" s="1948"/>
      <c r="I4" s="1948"/>
      <c r="K4" s="708" t="s">
        <v>401</v>
      </c>
      <c r="L4" s="708"/>
      <c r="M4" s="708"/>
    </row>
    <row r="5" spans="1:13" ht="15.75">
      <c r="A5" s="1950"/>
      <c r="B5" s="1950"/>
      <c r="C5" s="600"/>
      <c r="I5" s="709"/>
      <c r="J5" s="1951" t="s">
        <v>437</v>
      </c>
      <c r="K5" s="1951"/>
      <c r="L5" s="1951"/>
      <c r="M5" s="1951"/>
    </row>
    <row r="6" spans="1:13" ht="18.75" customHeight="1">
      <c r="A6" s="1862" t="s">
        <v>71</v>
      </c>
      <c r="B6" s="1863"/>
      <c r="C6" s="1941" t="s">
        <v>297</v>
      </c>
      <c r="D6" s="1954" t="s">
        <v>298</v>
      </c>
      <c r="E6" s="1955"/>
      <c r="F6" s="1955"/>
      <c r="G6" s="1956"/>
      <c r="H6" s="1954" t="s">
        <v>299</v>
      </c>
      <c r="I6" s="1955"/>
      <c r="J6" s="1955"/>
      <c r="K6" s="1955"/>
      <c r="L6" s="1955"/>
      <c r="M6" s="1956"/>
    </row>
    <row r="7" spans="1:13" ht="15.75" customHeight="1">
      <c r="A7" s="1864"/>
      <c r="B7" s="1865"/>
      <c r="C7" s="1949"/>
      <c r="D7" s="1954" t="s">
        <v>7</v>
      </c>
      <c r="E7" s="1957"/>
      <c r="F7" s="1955"/>
      <c r="G7" s="1956"/>
      <c r="H7" s="1941" t="s">
        <v>36</v>
      </c>
      <c r="I7" s="1954" t="s">
        <v>7</v>
      </c>
      <c r="J7" s="1955"/>
      <c r="K7" s="1955"/>
      <c r="L7" s="1955"/>
      <c r="M7" s="1956"/>
    </row>
    <row r="8" spans="1:13" ht="14.25" customHeight="1">
      <c r="A8" s="1864"/>
      <c r="B8" s="1865"/>
      <c r="C8" s="1949"/>
      <c r="D8" s="1941" t="s">
        <v>300</v>
      </c>
      <c r="E8" s="817"/>
      <c r="F8" s="1941" t="s">
        <v>302</v>
      </c>
      <c r="G8" s="1941" t="s">
        <v>301</v>
      </c>
      <c r="H8" s="1949"/>
      <c r="I8" s="1941" t="s">
        <v>303</v>
      </c>
      <c r="J8" s="1941" t="s">
        <v>304</v>
      </c>
      <c r="K8" s="1941" t="s">
        <v>305</v>
      </c>
      <c r="L8" s="1941" t="s">
        <v>306</v>
      </c>
      <c r="M8" s="1941" t="s">
        <v>307</v>
      </c>
    </row>
    <row r="9" spans="1:13" ht="77.25" customHeight="1">
      <c r="A9" s="1952"/>
      <c r="B9" s="1953"/>
      <c r="C9" s="1942"/>
      <c r="D9" s="1942"/>
      <c r="E9" s="818" t="s">
        <v>717</v>
      </c>
      <c r="F9" s="1942"/>
      <c r="G9" s="1942"/>
      <c r="H9" s="1942"/>
      <c r="I9" s="1942"/>
      <c r="J9" s="1942"/>
      <c r="K9" s="1942"/>
      <c r="L9" s="1942"/>
      <c r="M9" s="1942"/>
    </row>
    <row r="10" spans="1:13" s="703" customFormat="1" ht="16.5" customHeight="1">
      <c r="A10" s="1943" t="s">
        <v>6</v>
      </c>
      <c r="B10" s="1944"/>
      <c r="C10" s="681">
        <v>1</v>
      </c>
      <c r="D10" s="681">
        <v>2</v>
      </c>
      <c r="E10" s="681" t="s">
        <v>57</v>
      </c>
      <c r="F10" s="681" t="s">
        <v>72</v>
      </c>
      <c r="G10" s="681" t="s">
        <v>73</v>
      </c>
      <c r="H10" s="681" t="s">
        <v>74</v>
      </c>
      <c r="I10" s="681" t="s">
        <v>75</v>
      </c>
      <c r="J10" s="681" t="s">
        <v>76</v>
      </c>
      <c r="K10" s="681" t="s">
        <v>77</v>
      </c>
      <c r="L10" s="681" t="s">
        <v>100</v>
      </c>
      <c r="M10" s="681" t="s">
        <v>101</v>
      </c>
    </row>
    <row r="11" spans="1:13" s="1086" customFormat="1" ht="18" customHeight="1">
      <c r="A11" s="1945" t="s">
        <v>36</v>
      </c>
      <c r="B11" s="1946"/>
      <c r="C11" s="1085">
        <f aca="true" t="shared" si="0" ref="C11:M11">C12+C13</f>
        <v>3</v>
      </c>
      <c r="D11" s="1085">
        <f t="shared" si="0"/>
        <v>0</v>
      </c>
      <c r="E11" s="1085">
        <f t="shared" si="0"/>
        <v>0</v>
      </c>
      <c r="F11" s="1085">
        <f t="shared" si="0"/>
        <v>3</v>
      </c>
      <c r="G11" s="1085">
        <f t="shared" si="0"/>
        <v>0</v>
      </c>
      <c r="H11" s="1085">
        <f t="shared" si="0"/>
        <v>4</v>
      </c>
      <c r="I11" s="1085">
        <f t="shared" si="0"/>
        <v>0</v>
      </c>
      <c r="J11" s="1085">
        <f t="shared" si="0"/>
        <v>0</v>
      </c>
      <c r="K11" s="1085">
        <f t="shared" si="0"/>
        <v>0</v>
      </c>
      <c r="L11" s="1085">
        <f t="shared" si="0"/>
        <v>0</v>
      </c>
      <c r="M11" s="1085">
        <f t="shared" si="0"/>
        <v>4</v>
      </c>
    </row>
    <row r="12" spans="1:13" s="1096" customFormat="1" ht="21.75" customHeight="1">
      <c r="A12" s="1091" t="s">
        <v>0</v>
      </c>
      <c r="B12" s="1092" t="s">
        <v>226</v>
      </c>
      <c r="C12" s="1093">
        <f>D12+E12+F12+G12</f>
        <v>0</v>
      </c>
      <c r="D12" s="1093">
        <v>0</v>
      </c>
      <c r="E12" s="1093">
        <v>0</v>
      </c>
      <c r="F12" s="1093">
        <v>0</v>
      </c>
      <c r="G12" s="1093"/>
      <c r="H12" s="1093">
        <f>I12+J12+K12+L12+M12</f>
        <v>0</v>
      </c>
      <c r="I12" s="1093"/>
      <c r="J12" s="1094"/>
      <c r="K12" s="1094"/>
      <c r="L12" s="1094"/>
      <c r="M12" s="1095"/>
    </row>
    <row r="13" spans="1:13" s="1075" customFormat="1" ht="21.75" customHeight="1">
      <c r="A13" s="1098" t="s">
        <v>1</v>
      </c>
      <c r="B13" s="1099" t="s">
        <v>18</v>
      </c>
      <c r="C13" s="1074">
        <f>D13+E13+F13+G13</f>
        <v>3</v>
      </c>
      <c r="D13" s="1074">
        <f aca="true" t="shared" si="1" ref="D13:M13">SUM(D14:D20)</f>
        <v>0</v>
      </c>
      <c r="E13" s="1074">
        <f t="shared" si="1"/>
        <v>0</v>
      </c>
      <c r="F13" s="1074">
        <f t="shared" si="1"/>
        <v>3</v>
      </c>
      <c r="G13" s="1074">
        <f t="shared" si="1"/>
        <v>0</v>
      </c>
      <c r="H13" s="1074">
        <f t="shared" si="1"/>
        <v>4</v>
      </c>
      <c r="I13" s="1074">
        <f t="shared" si="1"/>
        <v>0</v>
      </c>
      <c r="J13" s="1074">
        <f t="shared" si="1"/>
        <v>0</v>
      </c>
      <c r="K13" s="1074">
        <f t="shared" si="1"/>
        <v>0</v>
      </c>
      <c r="L13" s="1074">
        <f t="shared" si="1"/>
        <v>0</v>
      </c>
      <c r="M13" s="1074">
        <f t="shared" si="1"/>
        <v>4</v>
      </c>
    </row>
    <row r="14" spans="1:13" s="703" customFormat="1" ht="21.75" customHeight="1">
      <c r="A14" s="659">
        <v>1</v>
      </c>
      <c r="B14" s="816" t="s">
        <v>709</v>
      </c>
      <c r="C14" s="828">
        <f aca="true" t="shared" si="2" ref="C14:C20">D14+E14+F14+G14</f>
        <v>0</v>
      </c>
      <c r="D14" s="1089"/>
      <c r="E14" s="1089"/>
      <c r="F14" s="1089"/>
      <c r="G14" s="1134"/>
      <c r="H14" s="1089">
        <f>I14+J14+K14+L14+M14</f>
        <v>0</v>
      </c>
      <c r="I14" s="1089"/>
      <c r="J14" s="1090"/>
      <c r="K14" s="1090"/>
      <c r="L14" s="1090"/>
      <c r="M14" s="927"/>
    </row>
    <row r="15" spans="1:13" s="703" customFormat="1" ht="21.75" customHeight="1">
      <c r="A15" s="659">
        <v>2</v>
      </c>
      <c r="B15" s="816" t="s">
        <v>710</v>
      </c>
      <c r="C15" s="828">
        <f t="shared" si="2"/>
        <v>0</v>
      </c>
      <c r="D15" s="1089"/>
      <c r="E15" s="1089"/>
      <c r="F15" s="1089"/>
      <c r="G15" s="1134"/>
      <c r="H15" s="1089">
        <f aca="true" t="shared" si="3" ref="H15:H20">I15+J15+K15+L15+M15</f>
        <v>0</v>
      </c>
      <c r="I15" s="1089"/>
      <c r="J15" s="1090"/>
      <c r="K15" s="1100"/>
      <c r="L15" s="1100"/>
      <c r="M15" s="830"/>
    </row>
    <row r="16" spans="1:13" s="703" customFormat="1" ht="21.75" customHeight="1">
      <c r="A16" s="659">
        <v>3</v>
      </c>
      <c r="B16" s="816" t="s">
        <v>711</v>
      </c>
      <c r="C16" s="828">
        <f t="shared" si="2"/>
        <v>1</v>
      </c>
      <c r="D16" s="1089"/>
      <c r="E16" s="1089"/>
      <c r="F16" s="1087">
        <v>1</v>
      </c>
      <c r="G16" s="1134"/>
      <c r="H16" s="1089">
        <f t="shared" si="3"/>
        <v>1</v>
      </c>
      <c r="I16" s="1089"/>
      <c r="J16" s="1090"/>
      <c r="K16" s="1100"/>
      <c r="L16" s="1100"/>
      <c r="M16" s="830">
        <v>1</v>
      </c>
    </row>
    <row r="17" spans="1:13" s="703" customFormat="1" ht="21.75" customHeight="1">
      <c r="A17" s="659">
        <v>4</v>
      </c>
      <c r="B17" s="816" t="s">
        <v>712</v>
      </c>
      <c r="C17" s="828">
        <f t="shared" si="2"/>
        <v>1</v>
      </c>
      <c r="D17" s="901"/>
      <c r="E17" s="898"/>
      <c r="F17" s="901">
        <v>1</v>
      </c>
      <c r="G17" s="1135"/>
      <c r="H17" s="1089">
        <f t="shared" si="3"/>
        <v>1</v>
      </c>
      <c r="I17" s="899"/>
      <c r="J17" s="899"/>
      <c r="K17" s="900"/>
      <c r="L17" s="900"/>
      <c r="M17" s="902">
        <v>1</v>
      </c>
    </row>
    <row r="18" spans="1:13" s="703" customFormat="1" ht="21.75" customHeight="1">
      <c r="A18" s="659">
        <v>5</v>
      </c>
      <c r="B18" s="816" t="s">
        <v>713</v>
      </c>
      <c r="C18" s="828">
        <f t="shared" si="2"/>
        <v>0</v>
      </c>
      <c r="D18" s="1089"/>
      <c r="E18" s="1089"/>
      <c r="F18" s="1089"/>
      <c r="G18" s="1134"/>
      <c r="H18" s="1089">
        <f t="shared" si="3"/>
        <v>1</v>
      </c>
      <c r="I18" s="1089"/>
      <c r="J18" s="1090"/>
      <c r="K18" s="1100"/>
      <c r="L18" s="1100"/>
      <c r="M18" s="830">
        <v>1</v>
      </c>
    </row>
    <row r="19" spans="1:13" s="703" customFormat="1" ht="21.75" customHeight="1">
      <c r="A19" s="659">
        <v>6</v>
      </c>
      <c r="B19" s="816" t="s">
        <v>714</v>
      </c>
      <c r="C19" s="828">
        <f t="shared" si="2"/>
        <v>0</v>
      </c>
      <c r="D19" s="1089"/>
      <c r="E19" s="1089"/>
      <c r="F19" s="1089"/>
      <c r="G19" s="1134"/>
      <c r="H19" s="1089">
        <f t="shared" si="3"/>
        <v>0</v>
      </c>
      <c r="I19" s="1089"/>
      <c r="J19" s="1090"/>
      <c r="K19" s="1100"/>
      <c r="L19" s="1100"/>
      <c r="M19" s="830"/>
    </row>
    <row r="20" spans="1:13" s="703" customFormat="1" ht="21.75" customHeight="1">
      <c r="A20" s="659">
        <v>7</v>
      </c>
      <c r="B20" s="816" t="s">
        <v>715</v>
      </c>
      <c r="C20" s="828">
        <f t="shared" si="2"/>
        <v>1</v>
      </c>
      <c r="D20" s="1089"/>
      <c r="E20" s="1089"/>
      <c r="F20" s="1089">
        <v>1</v>
      </c>
      <c r="G20" s="1134"/>
      <c r="H20" s="1089">
        <f t="shared" si="3"/>
        <v>1</v>
      </c>
      <c r="I20" s="1089"/>
      <c r="J20" s="1090"/>
      <c r="K20" s="1100"/>
      <c r="L20" s="1100"/>
      <c r="M20" s="830">
        <v>1</v>
      </c>
    </row>
    <row r="21" spans="1:13" ht="25.5" customHeight="1">
      <c r="A21" s="1924"/>
      <c r="B21" s="1924"/>
      <c r="C21" s="1924"/>
      <c r="D21" s="1924"/>
      <c r="E21" s="1924"/>
      <c r="F21" s="1924"/>
      <c r="G21" s="705"/>
      <c r="H21" s="622"/>
      <c r="J21" s="1834" t="str">
        <f>'Thong tin'!B8</f>
        <v>Tuyên Quang, ngày 05 tháng 04 năm 2018</v>
      </c>
      <c r="K21" s="1834"/>
      <c r="L21" s="1834"/>
      <c r="M21" s="1834"/>
    </row>
    <row r="22" spans="1:13" ht="18.75" customHeight="1">
      <c r="A22" s="1875" t="s">
        <v>4</v>
      </c>
      <c r="B22" s="1875"/>
      <c r="C22" s="1875"/>
      <c r="D22" s="1875"/>
      <c r="E22" s="1875"/>
      <c r="F22" s="1875"/>
      <c r="G22" s="705"/>
      <c r="H22" s="624"/>
      <c r="I22" s="1827" t="str">
        <f>'Thong tin'!B7</f>
        <v>CỤC TRƯỞNG</v>
      </c>
      <c r="J22" s="1827"/>
      <c r="K22" s="1827"/>
      <c r="L22" s="1827"/>
      <c r="M22" s="1827"/>
    </row>
    <row r="23" spans="1:13" ht="18.75">
      <c r="A23" s="1849"/>
      <c r="B23" s="1849"/>
      <c r="C23" s="1849"/>
      <c r="D23" s="1849"/>
      <c r="E23" s="1849"/>
      <c r="F23" s="1849"/>
      <c r="G23" s="710"/>
      <c r="H23" s="705"/>
      <c r="I23" s="1850"/>
      <c r="J23" s="1850"/>
      <c r="K23" s="1850"/>
      <c r="L23" s="1850"/>
      <c r="M23" s="1850"/>
    </row>
    <row r="24" spans="1:13" ht="31.5" customHeight="1">
      <c r="A24" s="626"/>
      <c r="B24" s="626"/>
      <c r="C24" s="626"/>
      <c r="D24" s="626"/>
      <c r="E24" s="626"/>
      <c r="F24" s="626"/>
      <c r="G24" s="710"/>
      <c r="H24" s="705"/>
      <c r="I24" s="628"/>
      <c r="J24" s="628"/>
      <c r="K24" s="628"/>
      <c r="L24" s="628"/>
      <c r="M24" s="628"/>
    </row>
    <row r="25" spans="1:13" ht="18.75">
      <c r="A25" s="626"/>
      <c r="B25" s="626"/>
      <c r="C25" s="626"/>
      <c r="D25" s="626"/>
      <c r="E25" s="626"/>
      <c r="F25" s="626"/>
      <c r="G25" s="710"/>
      <c r="H25" s="705"/>
      <c r="I25" s="628"/>
      <c r="J25" s="628"/>
      <c r="K25" s="628"/>
      <c r="L25" s="628"/>
      <c r="M25" s="628"/>
    </row>
    <row r="26" spans="1:13" ht="18">
      <c r="A26" s="705"/>
      <c r="B26" s="705"/>
      <c r="C26" s="705"/>
      <c r="D26" s="705"/>
      <c r="E26" s="705"/>
      <c r="F26" s="705"/>
      <c r="G26" s="705"/>
      <c r="H26" s="705"/>
      <c r="I26" s="705"/>
      <c r="J26" s="705"/>
      <c r="K26" s="705"/>
      <c r="L26" s="705"/>
      <c r="M26" s="705"/>
    </row>
    <row r="27" spans="1:13" ht="18.75">
      <c r="A27" s="1789" t="str">
        <f>'Thong tin'!B5</f>
        <v>Duy Thị Thúy</v>
      </c>
      <c r="B27" s="1789"/>
      <c r="C27" s="1789"/>
      <c r="D27" s="1789"/>
      <c r="E27" s="1789"/>
      <c r="F27" s="1789"/>
      <c r="G27" s="705"/>
      <c r="H27" s="711"/>
      <c r="I27" s="1731" t="str">
        <f>'Thong tin'!B6</f>
        <v>Nguyễn Tuyên </v>
      </c>
      <c r="J27" s="1731"/>
      <c r="K27" s="1731"/>
      <c r="L27" s="1731"/>
      <c r="M27" s="1731"/>
    </row>
    <row r="28" spans="1:13" ht="12.75" customHeight="1">
      <c r="A28" s="705"/>
      <c r="B28" s="705"/>
      <c r="C28" s="705"/>
      <c r="D28" s="705"/>
      <c r="E28" s="705"/>
      <c r="F28" s="705"/>
      <c r="G28" s="705"/>
      <c r="H28" s="705"/>
      <c r="I28" s="711"/>
      <c r="J28" s="711"/>
      <c r="K28" s="711"/>
      <c r="L28" s="711"/>
      <c r="M28" s="711"/>
    </row>
  </sheetData>
  <sheetProtection/>
  <mergeCells count="35">
    <mergeCell ref="A4:C4"/>
    <mergeCell ref="D1:I1"/>
    <mergeCell ref="A1:C1"/>
    <mergeCell ref="A2:C2"/>
    <mergeCell ref="A3:C3"/>
    <mergeCell ref="D2:I2"/>
    <mergeCell ref="A5:B5"/>
    <mergeCell ref="J5:M5"/>
    <mergeCell ref="A6:B9"/>
    <mergeCell ref="C6:C9"/>
    <mergeCell ref="D6:G6"/>
    <mergeCell ref="H6:M6"/>
    <mergeCell ref="D7:G7"/>
    <mergeCell ref="I7:M7"/>
    <mergeCell ref="D8:D9"/>
    <mergeCell ref="K2:M2"/>
    <mergeCell ref="D4:I4"/>
    <mergeCell ref="J8:J9"/>
    <mergeCell ref="H7:H9"/>
    <mergeCell ref="M8:M9"/>
    <mergeCell ref="I8:I9"/>
    <mergeCell ref="A27:F27"/>
    <mergeCell ref="I27:M27"/>
    <mergeCell ref="A22:F22"/>
    <mergeCell ref="I22:M22"/>
    <mergeCell ref="A23:F23"/>
    <mergeCell ref="I23:M23"/>
    <mergeCell ref="J21:M21"/>
    <mergeCell ref="G8:G9"/>
    <mergeCell ref="K8:K9"/>
    <mergeCell ref="L8:L9"/>
    <mergeCell ref="A10:B10"/>
    <mergeCell ref="A11:B11"/>
    <mergeCell ref="A21:F21"/>
    <mergeCell ref="F8:F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1"/>
  <sheetViews>
    <sheetView zoomScaleSheetLayoutView="100" zoomScalePageLayoutView="0" workbookViewId="0" topLeftCell="A7">
      <selection activeCell="Q20" sqref="Q20"/>
    </sheetView>
  </sheetViews>
  <sheetFormatPr defaultColWidth="9.00390625" defaultRowHeight="15.75"/>
  <cols>
    <col min="1" max="1" width="2.50390625" style="604" customWidth="1"/>
    <col min="2" max="2" width="24.625" style="604" customWidth="1"/>
    <col min="3" max="3" width="6.125" style="604" customWidth="1"/>
    <col min="4" max="4" width="7.125" style="604" customWidth="1"/>
    <col min="5" max="5" width="4.75390625" style="604" customWidth="1"/>
    <col min="6" max="6" width="6.375" style="604" customWidth="1"/>
    <col min="7" max="7" width="4.50390625" style="604" customWidth="1"/>
    <col min="8" max="8" width="7.25390625" style="604" customWidth="1"/>
    <col min="9" max="9" width="4.375" style="604" customWidth="1"/>
    <col min="10" max="10" width="7.50390625" style="604" customWidth="1"/>
    <col min="11" max="11" width="4.25390625" style="604" customWidth="1"/>
    <col min="12" max="12" width="6.50390625" style="604" customWidth="1"/>
    <col min="13" max="13" width="5.375" style="604" customWidth="1"/>
    <col min="14" max="14" width="7.50390625" style="604" customWidth="1"/>
    <col min="15" max="15" width="4.375" style="604" customWidth="1"/>
    <col min="16" max="16" width="7.00390625" style="604" customWidth="1"/>
    <col min="17" max="17" width="5.75390625" style="604" customWidth="1"/>
    <col min="18" max="18" width="6.75390625" style="604" customWidth="1"/>
    <col min="19" max="19" width="4.00390625" style="604" customWidth="1"/>
    <col min="20" max="20" width="8.125" style="604" customWidth="1"/>
    <col min="21" max="16384" width="9.00390625" style="604" customWidth="1"/>
  </cols>
  <sheetData>
    <row r="1" spans="1:20" ht="18" customHeight="1">
      <c r="A1" s="1843" t="s">
        <v>311</v>
      </c>
      <c r="B1" s="1843"/>
      <c r="C1" s="1843"/>
      <c r="D1" s="1843"/>
      <c r="E1" s="1844" t="s">
        <v>661</v>
      </c>
      <c r="F1" s="1844"/>
      <c r="G1" s="1844"/>
      <c r="H1" s="1844"/>
      <c r="I1" s="1844"/>
      <c r="J1" s="1844"/>
      <c r="K1" s="1844"/>
      <c r="L1" s="1844"/>
      <c r="M1" s="1844"/>
      <c r="N1" s="1844"/>
      <c r="O1" s="1844"/>
      <c r="P1" s="605" t="s">
        <v>398</v>
      </c>
      <c r="Q1" s="708"/>
      <c r="R1" s="708"/>
      <c r="S1" s="708"/>
      <c r="T1" s="708"/>
    </row>
    <row r="2" spans="1:20" ht="20.25" customHeight="1">
      <c r="A2" s="1845" t="s">
        <v>719</v>
      </c>
      <c r="B2" s="1845"/>
      <c r="C2" s="1845"/>
      <c r="D2" s="1845"/>
      <c r="E2" s="1844"/>
      <c r="F2" s="1844"/>
      <c r="G2" s="1844"/>
      <c r="H2" s="1844"/>
      <c r="I2" s="1844"/>
      <c r="J2" s="1844"/>
      <c r="K2" s="1844"/>
      <c r="L2" s="1844"/>
      <c r="M2" s="1844"/>
      <c r="N2" s="1844"/>
      <c r="O2" s="1844"/>
      <c r="P2" s="849" t="str">
        <f>'Thong tin'!B4</f>
        <v>Cục THADS tỉnh Tuyên Quang</v>
      </c>
      <c r="Q2" s="708"/>
      <c r="R2" s="708"/>
      <c r="S2" s="708"/>
      <c r="T2" s="708"/>
    </row>
    <row r="3" spans="1:20" ht="15" customHeight="1">
      <c r="A3" s="1845" t="s">
        <v>343</v>
      </c>
      <c r="B3" s="1845"/>
      <c r="C3" s="1845"/>
      <c r="D3" s="1845"/>
      <c r="E3" s="1844"/>
      <c r="F3" s="1844"/>
      <c r="G3" s="1844"/>
      <c r="H3" s="1844"/>
      <c r="I3" s="1844"/>
      <c r="J3" s="1844"/>
      <c r="K3" s="1844"/>
      <c r="L3" s="1844"/>
      <c r="M3" s="1844"/>
      <c r="N3" s="1844"/>
      <c r="O3" s="1844"/>
      <c r="P3" s="605" t="s">
        <v>466</v>
      </c>
      <c r="Q3" s="605"/>
      <c r="R3" s="605"/>
      <c r="S3" s="712"/>
      <c r="T3" s="712"/>
    </row>
    <row r="4" spans="1:20" ht="15.75" customHeight="1">
      <c r="A4" s="1901" t="s">
        <v>362</v>
      </c>
      <c r="B4" s="1901"/>
      <c r="C4" s="1901"/>
      <c r="D4" s="1901"/>
      <c r="E4" s="1974" t="str">
        <f>'Thong tin'!B3</f>
        <v>06 tháng / năm 2018</v>
      </c>
      <c r="F4" s="1974"/>
      <c r="G4" s="1974"/>
      <c r="H4" s="1974"/>
      <c r="I4" s="1974"/>
      <c r="J4" s="1974"/>
      <c r="K4" s="1974"/>
      <c r="L4" s="1974"/>
      <c r="M4" s="1974"/>
      <c r="N4" s="1974"/>
      <c r="O4" s="1974"/>
      <c r="P4" s="708" t="s">
        <v>410</v>
      </c>
      <c r="Q4" s="605"/>
      <c r="R4" s="605"/>
      <c r="S4" s="712"/>
      <c r="T4" s="712"/>
    </row>
    <row r="5" spans="1:18" ht="24" customHeight="1">
      <c r="A5" s="713"/>
      <c r="B5" s="713"/>
      <c r="C5" s="713"/>
      <c r="F5" s="1973"/>
      <c r="G5" s="1973"/>
      <c r="H5" s="1973"/>
      <c r="I5" s="1973"/>
      <c r="J5" s="1973"/>
      <c r="K5" s="1973"/>
      <c r="L5" s="1973"/>
      <c r="M5" s="1973"/>
      <c r="N5" s="1973"/>
      <c r="O5" s="1973"/>
      <c r="P5" s="672" t="s">
        <v>442</v>
      </c>
      <c r="Q5" s="714"/>
      <c r="R5" s="714"/>
    </row>
    <row r="6" spans="1:20" s="715" customFormat="1" ht="18" customHeight="1">
      <c r="A6" s="1967" t="s">
        <v>71</v>
      </c>
      <c r="B6" s="1968"/>
      <c r="C6" s="1954" t="s">
        <v>37</v>
      </c>
      <c r="D6" s="1956"/>
      <c r="E6" s="1954" t="s">
        <v>7</v>
      </c>
      <c r="F6" s="1955"/>
      <c r="G6" s="1955"/>
      <c r="H6" s="1955"/>
      <c r="I6" s="1955"/>
      <c r="J6" s="1955"/>
      <c r="K6" s="1955"/>
      <c r="L6" s="1955"/>
      <c r="M6" s="1955"/>
      <c r="N6" s="1955"/>
      <c r="O6" s="1955"/>
      <c r="P6" s="1955"/>
      <c r="Q6" s="1955"/>
      <c r="R6" s="1955"/>
      <c r="S6" s="1955"/>
      <c r="T6" s="1956"/>
    </row>
    <row r="7" spans="1:20" s="715" customFormat="1" ht="22.5" customHeight="1">
      <c r="A7" s="1969"/>
      <c r="B7" s="1970"/>
      <c r="C7" s="1941" t="s">
        <v>443</v>
      </c>
      <c r="D7" s="1941" t="s">
        <v>444</v>
      </c>
      <c r="E7" s="1954" t="s">
        <v>312</v>
      </c>
      <c r="F7" s="1971"/>
      <c r="G7" s="1971"/>
      <c r="H7" s="1971"/>
      <c r="I7" s="1971"/>
      <c r="J7" s="1971"/>
      <c r="K7" s="1971"/>
      <c r="L7" s="1972"/>
      <c r="M7" s="1954" t="s">
        <v>445</v>
      </c>
      <c r="N7" s="1955"/>
      <c r="O7" s="1955"/>
      <c r="P7" s="1955"/>
      <c r="Q7" s="1955"/>
      <c r="R7" s="1955"/>
      <c r="S7" s="1955"/>
      <c r="T7" s="1956"/>
    </row>
    <row r="8" spans="1:20" s="715" customFormat="1" ht="42.75" customHeight="1">
      <c r="A8" s="1969"/>
      <c r="B8" s="1970"/>
      <c r="C8" s="1949"/>
      <c r="D8" s="1949"/>
      <c r="E8" s="1932" t="s">
        <v>446</v>
      </c>
      <c r="F8" s="1932"/>
      <c r="G8" s="1954" t="s">
        <v>447</v>
      </c>
      <c r="H8" s="1955"/>
      <c r="I8" s="1955"/>
      <c r="J8" s="1955"/>
      <c r="K8" s="1955"/>
      <c r="L8" s="1956"/>
      <c r="M8" s="1932" t="s">
        <v>448</v>
      </c>
      <c r="N8" s="1932"/>
      <c r="O8" s="1954" t="s">
        <v>447</v>
      </c>
      <c r="P8" s="1955"/>
      <c r="Q8" s="1955"/>
      <c r="R8" s="1955"/>
      <c r="S8" s="1955"/>
      <c r="T8" s="1956"/>
    </row>
    <row r="9" spans="1:20" s="715" customFormat="1" ht="35.25" customHeight="1">
      <c r="A9" s="1969"/>
      <c r="B9" s="1970"/>
      <c r="C9" s="1949"/>
      <c r="D9" s="1949"/>
      <c r="E9" s="1941" t="s">
        <v>313</v>
      </c>
      <c r="F9" s="1941" t="s">
        <v>314</v>
      </c>
      <c r="G9" s="1961" t="s">
        <v>315</v>
      </c>
      <c r="H9" s="1962"/>
      <c r="I9" s="1961" t="s">
        <v>316</v>
      </c>
      <c r="J9" s="1962"/>
      <c r="K9" s="1961" t="s">
        <v>317</v>
      </c>
      <c r="L9" s="1962"/>
      <c r="M9" s="1941" t="s">
        <v>318</v>
      </c>
      <c r="N9" s="1941" t="s">
        <v>314</v>
      </c>
      <c r="O9" s="1961" t="s">
        <v>315</v>
      </c>
      <c r="P9" s="1962"/>
      <c r="Q9" s="1961" t="s">
        <v>319</v>
      </c>
      <c r="R9" s="1962"/>
      <c r="S9" s="1961" t="s">
        <v>320</v>
      </c>
      <c r="T9" s="1962"/>
    </row>
    <row r="10" spans="1:20" s="715" customFormat="1" ht="25.5" customHeight="1">
      <c r="A10" s="1961"/>
      <c r="B10" s="1962"/>
      <c r="C10" s="1942"/>
      <c r="D10" s="1942"/>
      <c r="E10" s="1942"/>
      <c r="F10" s="1942"/>
      <c r="G10" s="677" t="s">
        <v>318</v>
      </c>
      <c r="H10" s="677" t="s">
        <v>314</v>
      </c>
      <c r="I10" s="680" t="s">
        <v>318</v>
      </c>
      <c r="J10" s="677" t="s">
        <v>314</v>
      </c>
      <c r="K10" s="680" t="s">
        <v>318</v>
      </c>
      <c r="L10" s="677" t="s">
        <v>314</v>
      </c>
      <c r="M10" s="1942"/>
      <c r="N10" s="1942"/>
      <c r="O10" s="677" t="s">
        <v>318</v>
      </c>
      <c r="P10" s="677" t="s">
        <v>314</v>
      </c>
      <c r="Q10" s="680" t="s">
        <v>318</v>
      </c>
      <c r="R10" s="677" t="s">
        <v>314</v>
      </c>
      <c r="S10" s="680" t="s">
        <v>318</v>
      </c>
      <c r="T10" s="677" t="s">
        <v>314</v>
      </c>
    </row>
    <row r="11" spans="1:20" s="682" customFormat="1" ht="12.75">
      <c r="A11" s="1963" t="s">
        <v>6</v>
      </c>
      <c r="B11" s="1964"/>
      <c r="C11" s="716">
        <v>1</v>
      </c>
      <c r="D11" s="681">
        <v>2</v>
      </c>
      <c r="E11" s="716">
        <v>3</v>
      </c>
      <c r="F11" s="681">
        <v>4</v>
      </c>
      <c r="G11" s="716">
        <v>5</v>
      </c>
      <c r="H11" s="681">
        <v>6</v>
      </c>
      <c r="I11" s="716">
        <v>7</v>
      </c>
      <c r="J11" s="681">
        <v>8</v>
      </c>
      <c r="K11" s="716">
        <v>9</v>
      </c>
      <c r="L11" s="681">
        <v>10</v>
      </c>
      <c r="M11" s="716">
        <v>11</v>
      </c>
      <c r="N11" s="681">
        <v>12</v>
      </c>
      <c r="O11" s="716">
        <v>13</v>
      </c>
      <c r="P11" s="681">
        <v>14</v>
      </c>
      <c r="Q11" s="716">
        <v>15</v>
      </c>
      <c r="R11" s="681">
        <v>16</v>
      </c>
      <c r="S11" s="716">
        <v>17</v>
      </c>
      <c r="T11" s="681">
        <v>18</v>
      </c>
    </row>
    <row r="12" spans="1:20" s="1064" customFormat="1" ht="15.75" customHeight="1">
      <c r="A12" s="1965" t="s">
        <v>36</v>
      </c>
      <c r="B12" s="1966"/>
      <c r="C12" s="1101">
        <f>SUM(C13:C14)</f>
        <v>1</v>
      </c>
      <c r="D12" s="1101">
        <f aca="true" t="shared" si="0" ref="D12:T13">SUM(D13:D14)</f>
        <v>150</v>
      </c>
      <c r="E12" s="1101">
        <f t="shared" si="0"/>
        <v>0</v>
      </c>
      <c r="F12" s="1101">
        <f t="shared" si="0"/>
        <v>0</v>
      </c>
      <c r="G12" s="1101">
        <f t="shared" si="0"/>
        <v>0</v>
      </c>
      <c r="H12" s="1101">
        <f t="shared" si="0"/>
        <v>0</v>
      </c>
      <c r="I12" s="1101">
        <f t="shared" si="0"/>
        <v>0</v>
      </c>
      <c r="J12" s="1101">
        <f t="shared" si="0"/>
        <v>0</v>
      </c>
      <c r="K12" s="1101">
        <f t="shared" si="0"/>
        <v>0</v>
      </c>
      <c r="L12" s="1101">
        <f t="shared" si="0"/>
        <v>0</v>
      </c>
      <c r="M12" s="1101">
        <f t="shared" si="0"/>
        <v>1</v>
      </c>
      <c r="N12" s="1101">
        <f t="shared" si="0"/>
        <v>150</v>
      </c>
      <c r="O12" s="1101">
        <f t="shared" si="0"/>
        <v>0</v>
      </c>
      <c r="P12" s="1101">
        <f t="shared" si="0"/>
        <v>0</v>
      </c>
      <c r="Q12" s="1101">
        <f t="shared" si="0"/>
        <v>0</v>
      </c>
      <c r="R12" s="1101">
        <f t="shared" si="0"/>
        <v>0</v>
      </c>
      <c r="S12" s="1101">
        <f t="shared" si="0"/>
        <v>2</v>
      </c>
      <c r="T12" s="1101">
        <f t="shared" si="0"/>
        <v>300</v>
      </c>
    </row>
    <row r="13" spans="1:20" s="1052" customFormat="1" ht="21" customHeight="1">
      <c r="A13" s="1035" t="s">
        <v>0</v>
      </c>
      <c r="B13" s="1036" t="s">
        <v>226</v>
      </c>
      <c r="C13" s="1097">
        <f>SUM(E13+M13)</f>
        <v>0</v>
      </c>
      <c r="D13" s="1097">
        <f>SUM(F13+N13)</f>
        <v>0</v>
      </c>
      <c r="E13" s="1102">
        <f t="shared" si="0"/>
        <v>0</v>
      </c>
      <c r="F13" s="1102">
        <f t="shared" si="0"/>
        <v>0</v>
      </c>
      <c r="G13" s="1102">
        <f t="shared" si="0"/>
        <v>0</v>
      </c>
      <c r="H13" s="1102">
        <f t="shared" si="0"/>
        <v>0</v>
      </c>
      <c r="I13" s="1102">
        <f t="shared" si="0"/>
        <v>0</v>
      </c>
      <c r="J13" s="1102">
        <f t="shared" si="0"/>
        <v>0</v>
      </c>
      <c r="K13" s="1102">
        <f t="shared" si="0"/>
        <v>0</v>
      </c>
      <c r="L13" s="1102">
        <f t="shared" si="0"/>
        <v>0</v>
      </c>
      <c r="M13" s="1102"/>
      <c r="N13" s="1102"/>
      <c r="O13" s="1102">
        <f t="shared" si="0"/>
        <v>0</v>
      </c>
      <c r="P13" s="1102">
        <f t="shared" si="0"/>
        <v>0</v>
      </c>
      <c r="Q13" s="1102">
        <f t="shared" si="0"/>
        <v>0</v>
      </c>
      <c r="R13" s="1102">
        <f t="shared" si="0"/>
        <v>0</v>
      </c>
      <c r="S13" s="1102">
        <f t="shared" si="0"/>
        <v>1</v>
      </c>
      <c r="T13" s="1102">
        <f t="shared" si="0"/>
        <v>150</v>
      </c>
    </row>
    <row r="14" spans="1:20" s="1059" customFormat="1" ht="21" customHeight="1">
      <c r="A14" s="1042" t="s">
        <v>1</v>
      </c>
      <c r="B14" s="1103" t="s">
        <v>18</v>
      </c>
      <c r="C14" s="1104">
        <f>SUM(C15:C21)</f>
        <v>1</v>
      </c>
      <c r="D14" s="1104">
        <f aca="true" t="shared" si="1" ref="D14:T14">SUM(D15:D21)</f>
        <v>150</v>
      </c>
      <c r="E14" s="1104">
        <f t="shared" si="1"/>
        <v>0</v>
      </c>
      <c r="F14" s="1104">
        <f t="shared" si="1"/>
        <v>0</v>
      </c>
      <c r="G14" s="1104">
        <f t="shared" si="1"/>
        <v>0</v>
      </c>
      <c r="H14" s="1104">
        <f t="shared" si="1"/>
        <v>0</v>
      </c>
      <c r="I14" s="1104">
        <f t="shared" si="1"/>
        <v>0</v>
      </c>
      <c r="J14" s="1104">
        <f t="shared" si="1"/>
        <v>0</v>
      </c>
      <c r="K14" s="1104">
        <f t="shared" si="1"/>
        <v>0</v>
      </c>
      <c r="L14" s="1104">
        <f t="shared" si="1"/>
        <v>0</v>
      </c>
      <c r="M14" s="1104">
        <f t="shared" si="1"/>
        <v>1</v>
      </c>
      <c r="N14" s="1104">
        <f t="shared" si="1"/>
        <v>150</v>
      </c>
      <c r="O14" s="1104">
        <f t="shared" si="1"/>
        <v>0</v>
      </c>
      <c r="P14" s="1104">
        <f t="shared" si="1"/>
        <v>0</v>
      </c>
      <c r="Q14" s="1104">
        <f t="shared" si="1"/>
        <v>0</v>
      </c>
      <c r="R14" s="1104">
        <f t="shared" si="1"/>
        <v>0</v>
      </c>
      <c r="S14" s="1104">
        <f t="shared" si="1"/>
        <v>1</v>
      </c>
      <c r="T14" s="1104">
        <f t="shared" si="1"/>
        <v>150</v>
      </c>
    </row>
    <row r="15" spans="1:20" s="618" customFormat="1" ht="21" customHeight="1">
      <c r="A15" s="659">
        <v>1</v>
      </c>
      <c r="B15" s="816" t="s">
        <v>709</v>
      </c>
      <c r="C15" s="829">
        <f aca="true" t="shared" si="2" ref="C15:D21">SUM(E15+M15)</f>
        <v>0</v>
      </c>
      <c r="D15" s="815">
        <f t="shared" si="2"/>
        <v>0</v>
      </c>
      <c r="E15" s="815"/>
      <c r="F15" s="815"/>
      <c r="G15" s="815"/>
      <c r="H15" s="815"/>
      <c r="I15" s="815"/>
      <c r="J15" s="815"/>
      <c r="K15" s="815"/>
      <c r="L15" s="815"/>
      <c r="M15" s="815"/>
      <c r="N15" s="815"/>
      <c r="O15" s="815"/>
      <c r="P15" s="815"/>
      <c r="Q15" s="815"/>
      <c r="R15" s="815"/>
      <c r="S15" s="815"/>
      <c r="T15" s="815"/>
    </row>
    <row r="16" spans="1:20" s="618" customFormat="1" ht="21" customHeight="1">
      <c r="A16" s="659">
        <v>2</v>
      </c>
      <c r="B16" s="816" t="s">
        <v>710</v>
      </c>
      <c r="C16" s="829">
        <f t="shared" si="2"/>
        <v>0</v>
      </c>
      <c r="D16" s="815">
        <f t="shared" si="2"/>
        <v>0</v>
      </c>
      <c r="E16" s="815"/>
      <c r="F16" s="815"/>
      <c r="G16" s="815"/>
      <c r="H16" s="815"/>
      <c r="I16" s="815"/>
      <c r="J16" s="815"/>
      <c r="K16" s="815"/>
      <c r="L16" s="815"/>
      <c r="M16" s="815"/>
      <c r="N16" s="815"/>
      <c r="O16" s="815"/>
      <c r="P16" s="815"/>
      <c r="Q16" s="815"/>
      <c r="R16" s="815"/>
      <c r="S16" s="815"/>
      <c r="T16" s="815"/>
    </row>
    <row r="17" spans="1:20" s="618" customFormat="1" ht="21" customHeight="1">
      <c r="A17" s="659">
        <v>3</v>
      </c>
      <c r="B17" s="816" t="s">
        <v>711</v>
      </c>
      <c r="C17" s="828">
        <f t="shared" si="2"/>
        <v>0</v>
      </c>
      <c r="D17" s="828">
        <f t="shared" si="2"/>
        <v>0</v>
      </c>
      <c r="E17" s="828"/>
      <c r="F17" s="828"/>
      <c r="G17" s="828"/>
      <c r="H17" s="828"/>
      <c r="I17" s="828"/>
      <c r="J17" s="828"/>
      <c r="K17" s="828"/>
      <c r="L17" s="828"/>
      <c r="M17" s="828"/>
      <c r="N17" s="828"/>
      <c r="O17" s="828"/>
      <c r="P17" s="828"/>
      <c r="Q17" s="828"/>
      <c r="R17" s="828"/>
      <c r="S17" s="828"/>
      <c r="T17" s="828"/>
    </row>
    <row r="18" spans="1:20" s="618" customFormat="1" ht="21" customHeight="1">
      <c r="A18" s="659">
        <v>4</v>
      </c>
      <c r="B18" s="816" t="s">
        <v>712</v>
      </c>
      <c r="C18" s="828">
        <f t="shared" si="2"/>
        <v>0</v>
      </c>
      <c r="D18" s="828">
        <f t="shared" si="2"/>
        <v>0</v>
      </c>
      <c r="E18" s="828"/>
      <c r="F18" s="828"/>
      <c r="G18" s="828"/>
      <c r="H18" s="828"/>
      <c r="I18" s="828"/>
      <c r="J18" s="828"/>
      <c r="K18" s="828"/>
      <c r="L18" s="828"/>
      <c r="M18" s="828"/>
      <c r="N18" s="828"/>
      <c r="O18" s="828"/>
      <c r="P18" s="828"/>
      <c r="Q18" s="828"/>
      <c r="R18" s="828"/>
      <c r="S18" s="828"/>
      <c r="T18" s="828"/>
    </row>
    <row r="19" spans="1:20" s="618" customFormat="1" ht="21" customHeight="1">
      <c r="A19" s="659">
        <v>5</v>
      </c>
      <c r="B19" s="816" t="s">
        <v>713</v>
      </c>
      <c r="C19" s="828">
        <f t="shared" si="2"/>
        <v>0</v>
      </c>
      <c r="D19" s="828">
        <f t="shared" si="2"/>
        <v>0</v>
      </c>
      <c r="E19" s="828"/>
      <c r="F19" s="828"/>
      <c r="G19" s="828"/>
      <c r="H19" s="828"/>
      <c r="I19" s="828"/>
      <c r="J19" s="828"/>
      <c r="K19" s="828"/>
      <c r="L19" s="828"/>
      <c r="M19" s="828"/>
      <c r="N19" s="828"/>
      <c r="O19" s="828"/>
      <c r="P19" s="828"/>
      <c r="Q19" s="828"/>
      <c r="R19" s="828"/>
      <c r="S19" s="828"/>
      <c r="T19" s="828"/>
    </row>
    <row r="20" spans="1:20" s="618" customFormat="1" ht="21" customHeight="1">
      <c r="A20" s="659">
        <v>6</v>
      </c>
      <c r="B20" s="816" t="s">
        <v>714</v>
      </c>
      <c r="C20" s="828">
        <f t="shared" si="2"/>
        <v>1</v>
      </c>
      <c r="D20" s="828">
        <f t="shared" si="2"/>
        <v>150</v>
      </c>
      <c r="E20" s="828"/>
      <c r="F20" s="828"/>
      <c r="G20" s="828"/>
      <c r="H20" s="828"/>
      <c r="I20" s="828"/>
      <c r="J20" s="828"/>
      <c r="K20" s="828"/>
      <c r="L20" s="828"/>
      <c r="M20" s="828">
        <v>1</v>
      </c>
      <c r="N20" s="828">
        <v>150</v>
      </c>
      <c r="O20" s="828"/>
      <c r="P20" s="828"/>
      <c r="Q20" s="828"/>
      <c r="R20" s="828"/>
      <c r="S20" s="828">
        <v>1</v>
      </c>
      <c r="T20" s="828">
        <v>150</v>
      </c>
    </row>
    <row r="21" spans="1:20" s="618" customFormat="1" ht="21" customHeight="1">
      <c r="A21" s="659">
        <v>7</v>
      </c>
      <c r="B21" s="816" t="s">
        <v>715</v>
      </c>
      <c r="C21" s="828">
        <f t="shared" si="2"/>
        <v>0</v>
      </c>
      <c r="D21" s="828">
        <f t="shared" si="2"/>
        <v>0</v>
      </c>
      <c r="E21" s="828"/>
      <c r="F21" s="828"/>
      <c r="G21" s="828"/>
      <c r="H21" s="828"/>
      <c r="I21" s="828"/>
      <c r="J21" s="828"/>
      <c r="K21" s="828"/>
      <c r="L21" s="828"/>
      <c r="M21" s="828"/>
      <c r="N21" s="828"/>
      <c r="O21" s="828"/>
      <c r="P21" s="828"/>
      <c r="Q21" s="828"/>
      <c r="R21" s="828"/>
      <c r="S21" s="828"/>
      <c r="T21" s="828"/>
    </row>
    <row r="22" spans="1:20" ht="17.25" customHeight="1">
      <c r="A22" s="621"/>
      <c r="B22" s="1835"/>
      <c r="C22" s="1835"/>
      <c r="D22" s="1835"/>
      <c r="E22" s="1835"/>
      <c r="F22" s="1835"/>
      <c r="G22" s="1835"/>
      <c r="H22" s="693"/>
      <c r="I22" s="693"/>
      <c r="J22" s="753"/>
      <c r="K22" s="693"/>
      <c r="L22" s="1908" t="str">
        <f>'Thong tin'!B8</f>
        <v>Tuyên Quang, ngày 05 tháng 04 năm 2018</v>
      </c>
      <c r="M22" s="1908"/>
      <c r="N22" s="1908"/>
      <c r="O22" s="1908"/>
      <c r="P22" s="1908"/>
      <c r="Q22" s="1908"/>
      <c r="R22" s="1908"/>
      <c r="S22" s="1908"/>
      <c r="T22" s="1908"/>
    </row>
    <row r="23" spans="1:20" ht="17.25" customHeight="1">
      <c r="A23" s="621"/>
      <c r="B23" s="1836" t="s">
        <v>42</v>
      </c>
      <c r="C23" s="1836"/>
      <c r="D23" s="1836"/>
      <c r="E23" s="1836"/>
      <c r="F23" s="1836"/>
      <c r="G23" s="1836"/>
      <c r="H23" s="664"/>
      <c r="I23" s="664"/>
      <c r="J23" s="664"/>
      <c r="K23" s="664"/>
      <c r="L23" s="1827" t="str">
        <f>'Thong tin'!B7</f>
        <v>CỤC TRƯỞNG</v>
      </c>
      <c r="M23" s="1827"/>
      <c r="N23" s="1827"/>
      <c r="O23" s="1827"/>
      <c r="P23" s="1827"/>
      <c r="Q23" s="1827"/>
      <c r="R23" s="1827"/>
      <c r="S23" s="1827"/>
      <c r="T23" s="1827"/>
    </row>
    <row r="24" spans="1:20" s="718" customFormat="1" ht="18.75">
      <c r="A24" s="717"/>
      <c r="B24" s="1826"/>
      <c r="C24" s="1826"/>
      <c r="D24" s="1826"/>
      <c r="E24" s="1826"/>
      <c r="F24" s="1826"/>
      <c r="G24" s="775"/>
      <c r="H24" s="775"/>
      <c r="I24" s="775"/>
      <c r="J24" s="775"/>
      <c r="K24" s="775"/>
      <c r="L24" s="1827"/>
      <c r="M24" s="1827"/>
      <c r="N24" s="1827"/>
      <c r="O24" s="1827"/>
      <c r="P24" s="1827"/>
      <c r="Q24" s="1827"/>
      <c r="R24" s="1827"/>
      <c r="S24" s="1827"/>
      <c r="T24" s="1827"/>
    </row>
    <row r="25" spans="1:20" s="718" customFormat="1" ht="18.75">
      <c r="A25" s="717"/>
      <c r="B25" s="754"/>
      <c r="C25" s="754"/>
      <c r="D25" s="754"/>
      <c r="E25" s="754"/>
      <c r="F25" s="754"/>
      <c r="G25" s="775"/>
      <c r="H25" s="775"/>
      <c r="I25" s="775"/>
      <c r="J25" s="775"/>
      <c r="K25" s="775"/>
      <c r="L25" s="667"/>
      <c r="M25" s="667"/>
      <c r="N25" s="667"/>
      <c r="O25" s="667"/>
      <c r="P25" s="667"/>
      <c r="Q25" s="667"/>
      <c r="R25" s="667"/>
      <c r="S25" s="667"/>
      <c r="T25" s="667"/>
    </row>
    <row r="26" spans="1:20" s="718" customFormat="1" ht="18.75">
      <c r="A26" s="717"/>
      <c r="B26" s="754"/>
      <c r="C26" s="754"/>
      <c r="D26" s="754"/>
      <c r="E26" s="754"/>
      <c r="F26" s="754"/>
      <c r="G26" s="775"/>
      <c r="H26" s="775"/>
      <c r="I26" s="775"/>
      <c r="J26" s="775"/>
      <c r="K26" s="775"/>
      <c r="L26" s="667"/>
      <c r="M26" s="667"/>
      <c r="N26" s="667"/>
      <c r="O26" s="667"/>
      <c r="P26" s="667"/>
      <c r="Q26" s="667"/>
      <c r="R26" s="667"/>
      <c r="S26" s="667"/>
      <c r="T26" s="667"/>
    </row>
    <row r="27" spans="1:20" s="718" customFormat="1" ht="18.75">
      <c r="A27" s="717"/>
      <c r="B27" s="775"/>
      <c r="C27" s="775"/>
      <c r="D27" s="775"/>
      <c r="E27" s="775"/>
      <c r="F27" s="775"/>
      <c r="G27" s="775"/>
      <c r="H27" s="775"/>
      <c r="I27" s="775"/>
      <c r="J27" s="775"/>
      <c r="K27" s="775"/>
      <c r="L27" s="775"/>
      <c r="M27" s="775"/>
      <c r="N27" s="775"/>
      <c r="O27" s="775"/>
      <c r="P27" s="775"/>
      <c r="Q27" s="775"/>
      <c r="R27" s="775"/>
      <c r="S27" s="775"/>
      <c r="T27" s="775"/>
    </row>
    <row r="28" spans="2:20" ht="18">
      <c r="B28" s="753"/>
      <c r="C28" s="753"/>
      <c r="D28" s="753"/>
      <c r="E28" s="753"/>
      <c r="F28" s="753"/>
      <c r="G28" s="753"/>
      <c r="H28" s="753"/>
      <c r="I28" s="753"/>
      <c r="J28" s="753"/>
      <c r="K28" s="753"/>
      <c r="L28" s="753"/>
      <c r="M28" s="753"/>
      <c r="N28" s="753"/>
      <c r="O28" s="753"/>
      <c r="P28" s="753"/>
      <c r="Q28" s="753"/>
      <c r="R28" s="753"/>
      <c r="S28" s="753"/>
      <c r="T28" s="753"/>
    </row>
    <row r="29" spans="2:20" ht="18.75">
      <c r="B29" s="1731" t="str">
        <f>'Thong tin'!B5</f>
        <v>Duy Thị Thúy</v>
      </c>
      <c r="C29" s="1731"/>
      <c r="D29" s="1731"/>
      <c r="E29" s="1731"/>
      <c r="F29" s="1731"/>
      <c r="G29" s="1731"/>
      <c r="H29" s="753"/>
      <c r="I29" s="753"/>
      <c r="J29" s="753"/>
      <c r="K29" s="753"/>
      <c r="L29" s="1731" t="str">
        <f>'Thong tin'!B6</f>
        <v>Nguyễn Tuyên </v>
      </c>
      <c r="M29" s="1731"/>
      <c r="N29" s="1731"/>
      <c r="O29" s="1731"/>
      <c r="P29" s="1731"/>
      <c r="Q29" s="1731"/>
      <c r="R29" s="1731"/>
      <c r="S29" s="1731"/>
      <c r="T29" s="1731"/>
    </row>
    <row r="30" spans="2:20" ht="18.75">
      <c r="B30" s="623"/>
      <c r="C30" s="623"/>
      <c r="D30" s="623"/>
      <c r="E30" s="623"/>
      <c r="F30" s="623"/>
      <c r="G30" s="623"/>
      <c r="H30" s="711"/>
      <c r="I30" s="623"/>
      <c r="J30" s="623"/>
      <c r="K30" s="623"/>
      <c r="L30" s="623"/>
      <c r="M30" s="623"/>
      <c r="N30" s="623"/>
      <c r="O30" s="623"/>
      <c r="P30" s="623"/>
      <c r="Q30" s="623"/>
      <c r="R30" s="623"/>
      <c r="S30" s="623"/>
      <c r="T30" s="623"/>
    </row>
    <row r="31" spans="2:20" ht="18">
      <c r="B31" s="623"/>
      <c r="C31" s="623"/>
      <c r="D31" s="623"/>
      <c r="E31" s="623"/>
      <c r="F31" s="623"/>
      <c r="G31" s="623"/>
      <c r="H31" s="623"/>
      <c r="I31" s="623"/>
      <c r="J31" s="623"/>
      <c r="K31" s="623"/>
      <c r="L31" s="623"/>
      <c r="M31" s="623"/>
      <c r="N31" s="623"/>
      <c r="O31" s="623"/>
      <c r="P31" s="623"/>
      <c r="Q31" s="623"/>
      <c r="R31" s="623"/>
      <c r="S31" s="623"/>
      <c r="T31" s="623"/>
    </row>
  </sheetData>
  <sheetProtection/>
  <mergeCells count="38">
    <mergeCell ref="A1:D1"/>
    <mergeCell ref="A2:D2"/>
    <mergeCell ref="A3:D3"/>
    <mergeCell ref="A4:D4"/>
    <mergeCell ref="E1:O3"/>
    <mergeCell ref="E4:O4"/>
    <mergeCell ref="G8:L8"/>
    <mergeCell ref="E7:L7"/>
    <mergeCell ref="O8:T8"/>
    <mergeCell ref="M7:T7"/>
    <mergeCell ref="E8:F8"/>
    <mergeCell ref="F5:O5"/>
    <mergeCell ref="K9:L9"/>
    <mergeCell ref="M9:M10"/>
    <mergeCell ref="N9:N10"/>
    <mergeCell ref="S9:T9"/>
    <mergeCell ref="O9:P9"/>
    <mergeCell ref="A6:B10"/>
    <mergeCell ref="C6:D6"/>
    <mergeCell ref="E6:T6"/>
    <mergeCell ref="G9:H9"/>
    <mergeCell ref="M8:N8"/>
    <mergeCell ref="B22:G22"/>
    <mergeCell ref="L22:T22"/>
    <mergeCell ref="C7:C10"/>
    <mergeCell ref="D7:D10"/>
    <mergeCell ref="Q9:R9"/>
    <mergeCell ref="I9:J9"/>
    <mergeCell ref="A11:B11"/>
    <mergeCell ref="A12:B12"/>
    <mergeCell ref="E9:E10"/>
    <mergeCell ref="F9:F10"/>
    <mergeCell ref="B29:G29"/>
    <mergeCell ref="L29:T29"/>
    <mergeCell ref="B23:G23"/>
    <mergeCell ref="L23:T23"/>
    <mergeCell ref="B24:F24"/>
    <mergeCell ref="L24:T2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6"/>
  <sheetViews>
    <sheetView zoomScaleSheetLayoutView="100" zoomScalePageLayoutView="0" workbookViewId="0" topLeftCell="A4">
      <selection activeCell="C11" sqref="C11"/>
    </sheetView>
  </sheetViews>
  <sheetFormatPr defaultColWidth="9.00390625" defaultRowHeight="15.75"/>
  <cols>
    <col min="1" max="1" width="3.75390625" style="730" customWidth="1"/>
    <col min="2" max="2" width="25.25390625" style="720" customWidth="1"/>
    <col min="3" max="3" width="9.25390625" style="720" customWidth="1"/>
    <col min="4" max="4" width="11.00390625" style="720" customWidth="1"/>
    <col min="5" max="5" width="8.375" style="720" customWidth="1"/>
    <col min="6" max="6" width="10.75390625" style="720" customWidth="1"/>
    <col min="7" max="7" width="8.25390625" style="720" customWidth="1"/>
    <col min="8" max="8" width="9.875" style="720" customWidth="1"/>
    <col min="9" max="9" width="9.00390625" style="720" customWidth="1"/>
    <col min="10" max="10" width="12.25390625" style="720" customWidth="1"/>
    <col min="11" max="11" width="9.25390625" style="720" customWidth="1"/>
    <col min="12" max="12" width="13.625" style="720" customWidth="1"/>
    <col min="13" max="16384" width="9.00390625" style="720" customWidth="1"/>
  </cols>
  <sheetData>
    <row r="1" spans="1:12" ht="20.25" customHeight="1">
      <c r="A1" s="1872" t="s">
        <v>322</v>
      </c>
      <c r="B1" s="1872"/>
      <c r="C1" s="1872"/>
      <c r="D1" s="1921" t="s">
        <v>449</v>
      </c>
      <c r="E1" s="1921"/>
      <c r="F1" s="1921"/>
      <c r="G1" s="1921"/>
      <c r="H1" s="1921"/>
      <c r="I1" s="1921"/>
      <c r="J1" s="639" t="s">
        <v>450</v>
      </c>
      <c r="K1" s="719"/>
      <c r="L1" s="719"/>
    </row>
    <row r="2" spans="1:12" ht="18.75" customHeight="1">
      <c r="A2" s="1868" t="s">
        <v>719</v>
      </c>
      <c r="B2" s="1868"/>
      <c r="C2" s="1868"/>
      <c r="D2" s="1980" t="s">
        <v>323</v>
      </c>
      <c r="E2" s="1980"/>
      <c r="F2" s="1980"/>
      <c r="G2" s="1980"/>
      <c r="H2" s="1980"/>
      <c r="I2" s="1980"/>
      <c r="J2" s="1983" t="str">
        <f>'Thong tin'!B4</f>
        <v>Cục THADS tỉnh Tuyên Quang</v>
      </c>
      <c r="K2" s="1983"/>
      <c r="L2" s="1983"/>
    </row>
    <row r="3" spans="1:12" ht="17.25">
      <c r="A3" s="1868" t="s">
        <v>343</v>
      </c>
      <c r="B3" s="1868"/>
      <c r="C3" s="1868"/>
      <c r="D3" s="1846" t="str">
        <f>'Thong tin'!B3</f>
        <v>06 tháng / năm 2018</v>
      </c>
      <c r="E3" s="1847"/>
      <c r="F3" s="1847"/>
      <c r="G3" s="1847"/>
      <c r="H3" s="1847"/>
      <c r="I3" s="1847"/>
      <c r="J3" s="642" t="s">
        <v>468</v>
      </c>
      <c r="K3" s="642"/>
      <c r="L3" s="642"/>
    </row>
    <row r="4" spans="1:12" ht="15.75">
      <c r="A4" s="1981" t="s">
        <v>453</v>
      </c>
      <c r="B4" s="1981"/>
      <c r="C4" s="1981"/>
      <c r="D4" s="1982"/>
      <c r="E4" s="1982"/>
      <c r="F4" s="1982"/>
      <c r="G4" s="1982"/>
      <c r="H4" s="1982"/>
      <c r="I4" s="1982"/>
      <c r="J4" s="1874" t="s">
        <v>410</v>
      </c>
      <c r="K4" s="1874"/>
      <c r="L4" s="1874"/>
    </row>
    <row r="5" spans="1:12" ht="15.75">
      <c r="A5" s="721"/>
      <c r="B5" s="721"/>
      <c r="C5" s="722"/>
      <c r="D5" s="722"/>
      <c r="E5" s="641"/>
      <c r="J5" s="723" t="s">
        <v>454</v>
      </c>
      <c r="K5" s="690"/>
      <c r="L5" s="690"/>
    </row>
    <row r="6" spans="1:12" ht="24.75" customHeight="1">
      <c r="A6" s="1984" t="s">
        <v>71</v>
      </c>
      <c r="B6" s="1985"/>
      <c r="C6" s="1975" t="s">
        <v>455</v>
      </c>
      <c r="D6" s="1975"/>
      <c r="E6" s="1975"/>
      <c r="F6" s="1975"/>
      <c r="G6" s="1975"/>
      <c r="H6" s="1975"/>
      <c r="I6" s="1975" t="s">
        <v>324</v>
      </c>
      <c r="J6" s="1975"/>
      <c r="K6" s="1975"/>
      <c r="L6" s="1975"/>
    </row>
    <row r="7" spans="1:12" ht="17.25" customHeight="1">
      <c r="A7" s="1986"/>
      <c r="B7" s="1987"/>
      <c r="C7" s="1975" t="s">
        <v>37</v>
      </c>
      <c r="D7" s="1975"/>
      <c r="E7" s="1975" t="s">
        <v>7</v>
      </c>
      <c r="F7" s="1975"/>
      <c r="G7" s="1975"/>
      <c r="H7" s="1975"/>
      <c r="I7" s="1975" t="s">
        <v>325</v>
      </c>
      <c r="J7" s="1975"/>
      <c r="K7" s="1975" t="s">
        <v>326</v>
      </c>
      <c r="L7" s="1975"/>
    </row>
    <row r="8" spans="1:12" ht="31.5" customHeight="1">
      <c r="A8" s="1986"/>
      <c r="B8" s="1987"/>
      <c r="C8" s="1975"/>
      <c r="D8" s="1975"/>
      <c r="E8" s="1975" t="s">
        <v>327</v>
      </c>
      <c r="F8" s="1975"/>
      <c r="G8" s="1975" t="s">
        <v>328</v>
      </c>
      <c r="H8" s="1975"/>
      <c r="I8" s="1975"/>
      <c r="J8" s="1975"/>
      <c r="K8" s="1975"/>
      <c r="L8" s="1975"/>
    </row>
    <row r="9" spans="1:12" ht="24.75" customHeight="1">
      <c r="A9" s="1988"/>
      <c r="B9" s="1989"/>
      <c r="C9" s="724" t="s">
        <v>329</v>
      </c>
      <c r="D9" s="724" t="s">
        <v>10</v>
      </c>
      <c r="E9" s="724" t="s">
        <v>3</v>
      </c>
      <c r="F9" s="724" t="s">
        <v>330</v>
      </c>
      <c r="G9" s="724" t="s">
        <v>3</v>
      </c>
      <c r="H9" s="724" t="s">
        <v>330</v>
      </c>
      <c r="I9" s="724" t="s">
        <v>3</v>
      </c>
      <c r="J9" s="724" t="s">
        <v>330</v>
      </c>
      <c r="K9" s="724" t="s">
        <v>3</v>
      </c>
      <c r="L9" s="724" t="s">
        <v>330</v>
      </c>
    </row>
    <row r="10" spans="1:12" s="726" customFormat="1" ht="15.75">
      <c r="A10" s="1978" t="s">
        <v>6</v>
      </c>
      <c r="B10" s="1979"/>
      <c r="C10" s="725">
        <v>1</v>
      </c>
      <c r="D10" s="725">
        <v>2</v>
      </c>
      <c r="E10" s="725">
        <v>3</v>
      </c>
      <c r="F10" s="725">
        <v>4</v>
      </c>
      <c r="G10" s="725">
        <v>5</v>
      </c>
      <c r="H10" s="725">
        <v>6</v>
      </c>
      <c r="I10" s="725">
        <v>7</v>
      </c>
      <c r="J10" s="725">
        <v>8</v>
      </c>
      <c r="K10" s="725">
        <v>9</v>
      </c>
      <c r="L10" s="725">
        <v>10</v>
      </c>
    </row>
    <row r="11" spans="1:12" s="726" customFormat="1" ht="23.25" customHeight="1">
      <c r="A11" s="1976" t="s">
        <v>36</v>
      </c>
      <c r="B11" s="1977"/>
      <c r="C11" s="814">
        <v>0</v>
      </c>
      <c r="D11" s="814">
        <f aca="true" t="shared" si="0" ref="D11:L11">D12+D13</f>
        <v>0</v>
      </c>
      <c r="E11" s="814">
        <f t="shared" si="0"/>
        <v>0</v>
      </c>
      <c r="F11" s="814">
        <f t="shared" si="0"/>
        <v>0</v>
      </c>
      <c r="G11" s="814">
        <f t="shared" si="0"/>
        <v>0</v>
      </c>
      <c r="H11" s="814">
        <f t="shared" si="0"/>
        <v>0</v>
      </c>
      <c r="I11" s="814">
        <f t="shared" si="0"/>
        <v>0</v>
      </c>
      <c r="J11" s="814">
        <f t="shared" si="0"/>
        <v>0</v>
      </c>
      <c r="K11" s="814">
        <f t="shared" si="0"/>
        <v>0</v>
      </c>
      <c r="L11" s="814">
        <f t="shared" si="0"/>
        <v>0</v>
      </c>
    </row>
    <row r="12" spans="1:12" s="729" customFormat="1" ht="23.25" customHeight="1">
      <c r="A12" s="655" t="s">
        <v>0</v>
      </c>
      <c r="B12" s="656" t="s">
        <v>97</v>
      </c>
      <c r="C12" s="814"/>
      <c r="D12" s="814"/>
      <c r="E12" s="814"/>
      <c r="F12" s="814"/>
      <c r="G12" s="814"/>
      <c r="H12" s="814"/>
      <c r="I12" s="814"/>
      <c r="J12" s="814"/>
      <c r="K12" s="814"/>
      <c r="L12" s="814"/>
    </row>
    <row r="13" spans="1:12" s="729" customFormat="1" ht="23.25" customHeight="1">
      <c r="A13" s="658" t="s">
        <v>1</v>
      </c>
      <c r="B13" s="656" t="s">
        <v>18</v>
      </c>
      <c r="C13" s="814">
        <f>C14+C15+C16+C17+C18+C19+C20</f>
        <v>0</v>
      </c>
      <c r="D13" s="814">
        <f aca="true" t="shared" si="1" ref="D13:L13">D14+D15+D16+D17+D18+D19+D20</f>
        <v>0</v>
      </c>
      <c r="E13" s="814">
        <f t="shared" si="1"/>
        <v>0</v>
      </c>
      <c r="F13" s="814">
        <f t="shared" si="1"/>
        <v>0</v>
      </c>
      <c r="G13" s="814">
        <f t="shared" si="1"/>
        <v>0</v>
      </c>
      <c r="H13" s="814">
        <f t="shared" si="1"/>
        <v>0</v>
      </c>
      <c r="I13" s="814">
        <f t="shared" si="1"/>
        <v>0</v>
      </c>
      <c r="J13" s="814">
        <f t="shared" si="1"/>
        <v>0</v>
      </c>
      <c r="K13" s="814">
        <f t="shared" si="1"/>
        <v>0</v>
      </c>
      <c r="L13" s="814">
        <f t="shared" si="1"/>
        <v>0</v>
      </c>
    </row>
    <row r="14" spans="1:12" s="729" customFormat="1" ht="23.25" customHeight="1">
      <c r="A14" s="659">
        <v>1</v>
      </c>
      <c r="B14" s="816" t="s">
        <v>709</v>
      </c>
      <c r="C14" s="814">
        <v>0</v>
      </c>
      <c r="D14" s="814"/>
      <c r="E14" s="814"/>
      <c r="F14" s="814"/>
      <c r="G14" s="814"/>
      <c r="H14" s="814"/>
      <c r="I14" s="814"/>
      <c r="J14" s="814"/>
      <c r="K14" s="814"/>
      <c r="L14" s="814"/>
    </row>
    <row r="15" spans="1:12" s="729" customFormat="1" ht="23.25" customHeight="1">
      <c r="A15" s="659">
        <v>2</v>
      </c>
      <c r="B15" s="816" t="s">
        <v>710</v>
      </c>
      <c r="C15" s="814">
        <v>0</v>
      </c>
      <c r="D15" s="814"/>
      <c r="E15" s="814"/>
      <c r="F15" s="814"/>
      <c r="G15" s="814"/>
      <c r="H15" s="814"/>
      <c r="I15" s="814"/>
      <c r="J15" s="814"/>
      <c r="K15" s="814"/>
      <c r="L15" s="814"/>
    </row>
    <row r="16" spans="1:12" s="729" customFormat="1" ht="23.25" customHeight="1">
      <c r="A16" s="659">
        <v>3</v>
      </c>
      <c r="B16" s="816" t="s">
        <v>711</v>
      </c>
      <c r="C16" s="814">
        <v>0</v>
      </c>
      <c r="D16" s="814"/>
      <c r="E16" s="814"/>
      <c r="F16" s="814"/>
      <c r="G16" s="814"/>
      <c r="H16" s="814"/>
      <c r="I16" s="814"/>
      <c r="J16" s="814"/>
      <c r="K16" s="814"/>
      <c r="L16" s="814"/>
    </row>
    <row r="17" spans="1:12" s="729" customFormat="1" ht="23.25" customHeight="1">
      <c r="A17" s="659">
        <v>4</v>
      </c>
      <c r="B17" s="816" t="s">
        <v>712</v>
      </c>
      <c r="C17" s="814"/>
      <c r="D17" s="814"/>
      <c r="E17" s="814"/>
      <c r="F17" s="814"/>
      <c r="G17" s="814"/>
      <c r="H17" s="814"/>
      <c r="I17" s="814"/>
      <c r="J17" s="814"/>
      <c r="K17" s="814"/>
      <c r="L17" s="814"/>
    </row>
    <row r="18" spans="1:12" s="729" customFormat="1" ht="23.25" customHeight="1">
      <c r="A18" s="659">
        <v>5</v>
      </c>
      <c r="B18" s="816" t="s">
        <v>713</v>
      </c>
      <c r="C18" s="814"/>
      <c r="D18" s="814"/>
      <c r="E18" s="814"/>
      <c r="F18" s="814"/>
      <c r="G18" s="814"/>
      <c r="H18" s="814"/>
      <c r="I18" s="814"/>
      <c r="J18" s="814"/>
      <c r="K18" s="814"/>
      <c r="L18" s="814"/>
    </row>
    <row r="19" spans="1:12" s="729" customFormat="1" ht="23.25" customHeight="1">
      <c r="A19" s="659">
        <v>6</v>
      </c>
      <c r="B19" s="816" t="s">
        <v>714</v>
      </c>
      <c r="C19" s="814"/>
      <c r="D19" s="814"/>
      <c r="E19" s="814"/>
      <c r="F19" s="814"/>
      <c r="G19" s="814"/>
      <c r="H19" s="814"/>
      <c r="I19" s="814"/>
      <c r="J19" s="814"/>
      <c r="K19" s="814"/>
      <c r="L19" s="814"/>
    </row>
    <row r="20" spans="1:12" s="729" customFormat="1" ht="23.25" customHeight="1">
      <c r="A20" s="659">
        <v>7</v>
      </c>
      <c r="B20" s="816" t="s">
        <v>715</v>
      </c>
      <c r="C20" s="814"/>
      <c r="D20" s="814"/>
      <c r="E20" s="814"/>
      <c r="F20" s="814"/>
      <c r="G20" s="814"/>
      <c r="H20" s="814"/>
      <c r="I20" s="814"/>
      <c r="J20" s="814"/>
      <c r="K20" s="814"/>
      <c r="L20" s="814"/>
    </row>
    <row r="21" spans="2:12" ht="18" customHeight="1">
      <c r="B21" s="776"/>
      <c r="C21" s="776"/>
      <c r="D21" s="776"/>
      <c r="E21" s="776"/>
      <c r="F21" s="776"/>
      <c r="G21" s="776"/>
      <c r="H21" s="776"/>
      <c r="I21" s="776"/>
      <c r="J21" s="776"/>
      <c r="K21" s="776"/>
      <c r="L21" s="776"/>
    </row>
    <row r="22" spans="1:12" s="640" customFormat="1" ht="18" customHeight="1">
      <c r="A22" s="660"/>
      <c r="B22" s="1835"/>
      <c r="C22" s="1835"/>
      <c r="D22" s="1835"/>
      <c r="E22" s="777"/>
      <c r="F22" s="693"/>
      <c r="G22" s="693"/>
      <c r="H22" s="1908" t="str">
        <f>'Thong tin'!B8</f>
        <v>Tuyên Quang, ngày 05 tháng 04 năm 2018</v>
      </c>
      <c r="I22" s="1908"/>
      <c r="J22" s="1908"/>
      <c r="K22" s="1908"/>
      <c r="L22" s="1908"/>
    </row>
    <row r="23" spans="1:12" s="640" customFormat="1" ht="19.5" customHeight="1">
      <c r="A23" s="660"/>
      <c r="B23" s="1836" t="s">
        <v>331</v>
      </c>
      <c r="C23" s="1836"/>
      <c r="D23" s="1836"/>
      <c r="E23" s="777"/>
      <c r="F23" s="664"/>
      <c r="G23" s="664"/>
      <c r="H23" s="1827" t="str">
        <f>'Thong tin'!B7</f>
        <v>CỤC TRƯỞNG</v>
      </c>
      <c r="I23" s="1827"/>
      <c r="J23" s="1827"/>
      <c r="K23" s="1827"/>
      <c r="L23" s="1827"/>
    </row>
    <row r="24" spans="1:12" s="640" customFormat="1" ht="15" customHeight="1">
      <c r="A24" s="660"/>
      <c r="B24" s="1992"/>
      <c r="C24" s="1992"/>
      <c r="D24" s="1992"/>
      <c r="E24" s="777"/>
      <c r="F24" s="664"/>
      <c r="G24" s="664"/>
      <c r="H24" s="1827"/>
      <c r="I24" s="1827"/>
      <c r="J24" s="1827"/>
      <c r="K24" s="1827"/>
      <c r="L24" s="1827"/>
    </row>
    <row r="25" spans="1:12" s="640" customFormat="1" ht="15" customHeight="1">
      <c r="A25" s="660"/>
      <c r="B25" s="666"/>
      <c r="C25" s="666"/>
      <c r="D25" s="777"/>
      <c r="E25" s="777"/>
      <c r="F25" s="664"/>
      <c r="G25" s="664"/>
      <c r="H25" s="667"/>
      <c r="I25" s="667"/>
      <c r="J25" s="667"/>
      <c r="K25" s="667"/>
      <c r="L25" s="667"/>
    </row>
    <row r="26" spans="1:12" s="640" customFormat="1" ht="15" customHeight="1">
      <c r="A26" s="660"/>
      <c r="B26" s="666"/>
      <c r="C26" s="666"/>
      <c r="D26" s="777"/>
      <c r="E26" s="777"/>
      <c r="F26" s="664"/>
      <c r="G26" s="664"/>
      <c r="H26" s="667"/>
      <c r="I26" s="667"/>
      <c r="J26" s="667"/>
      <c r="K26" s="667"/>
      <c r="L26" s="667"/>
    </row>
    <row r="27" spans="2:12" ht="19.5">
      <c r="B27" s="1990"/>
      <c r="C27" s="1990"/>
      <c r="D27" s="1990"/>
      <c r="E27" s="775"/>
      <c r="F27" s="775"/>
      <c r="G27" s="775"/>
      <c r="H27" s="775"/>
      <c r="I27" s="775"/>
      <c r="J27" s="778"/>
      <c r="K27" s="775"/>
      <c r="L27" s="775"/>
    </row>
    <row r="28" spans="2:12" ht="18.75">
      <c r="B28" s="775"/>
      <c r="C28" s="775"/>
      <c r="D28" s="775"/>
      <c r="E28" s="775"/>
      <c r="F28" s="775"/>
      <c r="G28" s="775"/>
      <c r="H28" s="775"/>
      <c r="I28" s="775"/>
      <c r="J28" s="775"/>
      <c r="K28" s="775"/>
      <c r="L28" s="775"/>
    </row>
    <row r="29" spans="2:12" ht="18.75">
      <c r="B29" s="775"/>
      <c r="C29" s="775"/>
      <c r="D29" s="775"/>
      <c r="E29" s="775"/>
      <c r="F29" s="775"/>
      <c r="G29" s="775"/>
      <c r="H29" s="775"/>
      <c r="I29" s="775"/>
      <c r="J29" s="775"/>
      <c r="K29" s="775"/>
      <c r="L29" s="775"/>
    </row>
    <row r="30" spans="1:12" s="625" customFormat="1" ht="18.75" hidden="1">
      <c r="A30" s="686" t="s">
        <v>46</v>
      </c>
      <c r="B30" s="755"/>
      <c r="C30" s="755"/>
      <c r="D30" s="755"/>
      <c r="E30" s="755"/>
      <c r="F30" s="755"/>
      <c r="G30" s="755"/>
      <c r="H30" s="755"/>
      <c r="I30" s="755"/>
      <c r="J30" s="755"/>
      <c r="K30" s="755"/>
      <c r="L30" s="755"/>
    </row>
    <row r="31" spans="1:12" s="625" customFormat="1" ht="15" customHeight="1" hidden="1">
      <c r="A31" s="630"/>
      <c r="B31" s="1991" t="s">
        <v>332</v>
      </c>
      <c r="C31" s="1991"/>
      <c r="D31" s="1991"/>
      <c r="E31" s="1991"/>
      <c r="F31" s="1991"/>
      <c r="G31" s="1991"/>
      <c r="H31" s="1991"/>
      <c r="I31" s="1991"/>
      <c r="J31" s="1991"/>
      <c r="K31" s="779"/>
      <c r="L31" s="661"/>
    </row>
    <row r="32" spans="2:12" s="625" customFormat="1" ht="18.75" hidden="1">
      <c r="B32" s="762" t="s">
        <v>333</v>
      </c>
      <c r="C32" s="755"/>
      <c r="D32" s="755"/>
      <c r="E32" s="755"/>
      <c r="F32" s="755"/>
      <c r="G32" s="755"/>
      <c r="H32" s="755"/>
      <c r="I32" s="755"/>
      <c r="J32" s="755"/>
      <c r="K32" s="755"/>
      <c r="L32" s="755"/>
    </row>
    <row r="33" spans="2:12" ht="18.75" hidden="1">
      <c r="B33" s="762" t="s">
        <v>334</v>
      </c>
      <c r="C33" s="775"/>
      <c r="D33" s="775"/>
      <c r="E33" s="775"/>
      <c r="F33" s="775"/>
      <c r="G33" s="775"/>
      <c r="H33" s="775"/>
      <c r="I33" s="775"/>
      <c r="J33" s="775"/>
      <c r="K33" s="775"/>
      <c r="L33" s="775"/>
    </row>
    <row r="34" spans="2:12" ht="18.75" hidden="1">
      <c r="B34" s="775"/>
      <c r="C34" s="775"/>
      <c r="D34" s="775"/>
      <c r="E34" s="775"/>
      <c r="F34" s="775"/>
      <c r="G34" s="775"/>
      <c r="H34" s="775"/>
      <c r="I34" s="775"/>
      <c r="J34" s="775"/>
      <c r="K34" s="775"/>
      <c r="L34" s="775"/>
    </row>
    <row r="35" spans="2:12" ht="18.75">
      <c r="B35" s="1731" t="str">
        <f>'Thong tin'!B5</f>
        <v>Duy Thị Thúy</v>
      </c>
      <c r="C35" s="1731"/>
      <c r="D35" s="1731"/>
      <c r="E35" s="765"/>
      <c r="F35" s="765"/>
      <c r="G35" s="753"/>
      <c r="H35" s="1731" t="str">
        <f>'Thong tin'!B6</f>
        <v>Nguyễn Tuyên </v>
      </c>
      <c r="I35" s="1731"/>
      <c r="J35" s="1731"/>
      <c r="K35" s="1731"/>
      <c r="L35" s="1731"/>
    </row>
    <row r="36" spans="2:12" ht="18.75">
      <c r="B36" s="731"/>
      <c r="C36" s="731"/>
      <c r="D36" s="731"/>
      <c r="E36" s="731"/>
      <c r="F36" s="731"/>
      <c r="G36" s="731"/>
      <c r="H36" s="731"/>
      <c r="I36" s="731"/>
      <c r="J36" s="731"/>
      <c r="K36" s="731"/>
      <c r="L36" s="731"/>
    </row>
  </sheetData>
  <sheetProtection/>
  <mergeCells count="31">
    <mergeCell ref="J2:L2"/>
    <mergeCell ref="A6:B9"/>
    <mergeCell ref="K7:L8"/>
    <mergeCell ref="B27:D27"/>
    <mergeCell ref="B31:J31"/>
    <mergeCell ref="B24:D24"/>
    <mergeCell ref="H23:L23"/>
    <mergeCell ref="E8:F8"/>
    <mergeCell ref="J4:L4"/>
    <mergeCell ref="I7:J8"/>
    <mergeCell ref="A1:C1"/>
    <mergeCell ref="D1:I1"/>
    <mergeCell ref="A2:C2"/>
    <mergeCell ref="D2:I2"/>
    <mergeCell ref="A4:C4"/>
    <mergeCell ref="C6:H6"/>
    <mergeCell ref="A3:C3"/>
    <mergeCell ref="D4:I4"/>
    <mergeCell ref="D3:I3"/>
    <mergeCell ref="B35:D35"/>
    <mergeCell ref="H35:L35"/>
    <mergeCell ref="B22:D22"/>
    <mergeCell ref="H22:L22"/>
    <mergeCell ref="B23:D23"/>
    <mergeCell ref="A10:B10"/>
    <mergeCell ref="E7:H7"/>
    <mergeCell ref="C7:D8"/>
    <mergeCell ref="H24:L24"/>
    <mergeCell ref="A11:B11"/>
    <mergeCell ref="G8:H8"/>
    <mergeCell ref="I6:L6"/>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M28"/>
  <sheetViews>
    <sheetView zoomScaleSheetLayoutView="100" zoomScalePageLayoutView="0" workbookViewId="0" topLeftCell="A1">
      <selection activeCell="D12" sqref="D12"/>
    </sheetView>
  </sheetViews>
  <sheetFormatPr defaultColWidth="9.00390625" defaultRowHeight="15.75"/>
  <cols>
    <col min="1" max="1" width="4.25390625" style="640" customWidth="1"/>
    <col min="2" max="2" width="27.875" style="640" customWidth="1"/>
    <col min="3" max="3" width="12.25390625" style="640" customWidth="1"/>
    <col min="4" max="5" width="11.00390625" style="640" customWidth="1"/>
    <col min="6" max="6" width="10.625" style="640" customWidth="1"/>
    <col min="7" max="7" width="11.50390625" style="640" customWidth="1"/>
    <col min="8" max="8" width="10.75390625" style="640" customWidth="1"/>
    <col min="9" max="9" width="13.75390625" style="640" customWidth="1"/>
    <col min="10" max="10" width="14.00390625" style="640" customWidth="1"/>
    <col min="11" max="16384" width="9.00390625" style="640" customWidth="1"/>
  </cols>
  <sheetData>
    <row r="1" spans="1:10" ht="16.5" customHeight="1">
      <c r="A1" s="1983" t="s">
        <v>627</v>
      </c>
      <c r="B1" s="1983"/>
      <c r="C1" s="2004" t="s">
        <v>628</v>
      </c>
      <c r="D1" s="2004"/>
      <c r="E1" s="2004"/>
      <c r="F1" s="2004"/>
      <c r="G1" s="2004"/>
      <c r="H1" s="2004"/>
      <c r="I1" s="2000" t="s">
        <v>662</v>
      </c>
      <c r="J1" s="1872"/>
    </row>
    <row r="2" spans="1:10" ht="15" customHeight="1">
      <c r="A2" s="1997" t="s">
        <v>629</v>
      </c>
      <c r="B2" s="1997"/>
      <c r="C2" s="2004"/>
      <c r="D2" s="2004"/>
      <c r="E2" s="2004"/>
      <c r="F2" s="2004"/>
      <c r="G2" s="2004"/>
      <c r="H2" s="2004"/>
      <c r="I2" s="850" t="str">
        <f>'Thong tin'!B4</f>
        <v>Cục THADS tỉnh Tuyên Quang</v>
      </c>
      <c r="J2" s="720"/>
    </row>
    <row r="3" spans="1:10" ht="15" customHeight="1">
      <c r="A3" s="2001" t="s">
        <v>360</v>
      </c>
      <c r="B3" s="2001"/>
      <c r="C3" s="2002" t="str">
        <f>'Thong tin'!B3</f>
        <v>06 tháng / năm 2018</v>
      </c>
      <c r="D3" s="2003"/>
      <c r="E3" s="2003"/>
      <c r="F3" s="2003"/>
      <c r="G3" s="2003"/>
      <c r="H3" s="2003"/>
      <c r="I3" s="2001" t="s">
        <v>630</v>
      </c>
      <c r="J3" s="2001"/>
    </row>
    <row r="4" spans="1:9" ht="15" customHeight="1">
      <c r="A4" s="723" t="s">
        <v>601</v>
      </c>
      <c r="B4" s="723"/>
      <c r="C4" s="1996"/>
      <c r="D4" s="1996"/>
      <c r="E4" s="1996"/>
      <c r="F4" s="1996"/>
      <c r="G4" s="1996"/>
      <c r="H4" s="1996"/>
      <c r="I4" s="720" t="s">
        <v>410</v>
      </c>
    </row>
    <row r="5" spans="1:10" ht="15" customHeight="1">
      <c r="A5" s="1997"/>
      <c r="B5" s="1997"/>
      <c r="C5" s="732"/>
      <c r="D5" s="732"/>
      <c r="E5" s="732"/>
      <c r="F5" s="732"/>
      <c r="G5" s="732"/>
      <c r="H5" s="733"/>
      <c r="I5" s="1998" t="s">
        <v>631</v>
      </c>
      <c r="J5" s="1998"/>
    </row>
    <row r="6" spans="1:10" ht="30" customHeight="1">
      <c r="A6" s="1999" t="s">
        <v>71</v>
      </c>
      <c r="B6" s="1999"/>
      <c r="C6" s="1993" t="s">
        <v>632</v>
      </c>
      <c r="D6" s="1993"/>
      <c r="E6" s="1993"/>
      <c r="F6" s="1993" t="s">
        <v>633</v>
      </c>
      <c r="G6" s="1993"/>
      <c r="H6" s="1993"/>
      <c r="I6" s="1993"/>
      <c r="J6" s="1993" t="s">
        <v>634</v>
      </c>
    </row>
    <row r="7" spans="1:10" ht="24" customHeight="1">
      <c r="A7" s="1999"/>
      <c r="B7" s="1999"/>
      <c r="C7" s="1993" t="s">
        <v>225</v>
      </c>
      <c r="D7" s="1993" t="s">
        <v>7</v>
      </c>
      <c r="E7" s="1993"/>
      <c r="F7" s="1993" t="s">
        <v>635</v>
      </c>
      <c r="G7" s="1993"/>
      <c r="H7" s="1993"/>
      <c r="I7" s="1993" t="s">
        <v>636</v>
      </c>
      <c r="J7" s="1993"/>
    </row>
    <row r="8" spans="1:10" ht="24" customHeight="1">
      <c r="A8" s="1999"/>
      <c r="B8" s="1999"/>
      <c r="C8" s="1993"/>
      <c r="D8" s="1993" t="s">
        <v>637</v>
      </c>
      <c r="E8" s="1993" t="s">
        <v>638</v>
      </c>
      <c r="F8" s="1993" t="s">
        <v>36</v>
      </c>
      <c r="G8" s="1993" t="s">
        <v>7</v>
      </c>
      <c r="H8" s="1993"/>
      <c r="I8" s="1993"/>
      <c r="J8" s="1993"/>
    </row>
    <row r="9" spans="1:10" ht="45.75" customHeight="1">
      <c r="A9" s="1999"/>
      <c r="B9" s="1999"/>
      <c r="C9" s="1993"/>
      <c r="D9" s="1994"/>
      <c r="E9" s="1993"/>
      <c r="F9" s="1993"/>
      <c r="G9" s="734" t="s">
        <v>639</v>
      </c>
      <c r="H9" s="734" t="s">
        <v>640</v>
      </c>
      <c r="I9" s="1993"/>
      <c r="J9" s="1993"/>
    </row>
    <row r="10" spans="1:10" ht="14.25" customHeight="1">
      <c r="A10" s="1995" t="s">
        <v>641</v>
      </c>
      <c r="B10" s="1995"/>
      <c r="C10" s="735">
        <v>1</v>
      </c>
      <c r="D10" s="735">
        <v>2</v>
      </c>
      <c r="E10" s="735">
        <v>3</v>
      </c>
      <c r="F10" s="735">
        <v>4</v>
      </c>
      <c r="G10" s="735">
        <v>5</v>
      </c>
      <c r="H10" s="735">
        <v>6</v>
      </c>
      <c r="I10" s="735">
        <v>7</v>
      </c>
      <c r="J10" s="735">
        <v>8</v>
      </c>
    </row>
    <row r="11" spans="1:10" s="648" customFormat="1" ht="17.25" customHeight="1">
      <c r="A11" s="1993" t="s">
        <v>36</v>
      </c>
      <c r="B11" s="1993"/>
      <c r="C11" s="727">
        <f aca="true" t="shared" si="0" ref="C11:J11">C12+C13</f>
        <v>0</v>
      </c>
      <c r="D11" s="727">
        <f t="shared" si="0"/>
        <v>0</v>
      </c>
      <c r="E11" s="727">
        <f t="shared" si="0"/>
        <v>0</v>
      </c>
      <c r="F11" s="727">
        <f t="shared" si="0"/>
        <v>0</v>
      </c>
      <c r="G11" s="727">
        <f t="shared" si="0"/>
        <v>0</v>
      </c>
      <c r="H11" s="727">
        <f t="shared" si="0"/>
        <v>0</v>
      </c>
      <c r="I11" s="727">
        <f t="shared" si="0"/>
        <v>0</v>
      </c>
      <c r="J11" s="727">
        <f t="shared" si="0"/>
        <v>0</v>
      </c>
    </row>
    <row r="12" spans="1:13" s="648" customFormat="1" ht="17.25" customHeight="1">
      <c r="A12" s="655" t="s">
        <v>0</v>
      </c>
      <c r="B12" s="656" t="s">
        <v>291</v>
      </c>
      <c r="C12" s="727">
        <f>D12+E12</f>
        <v>0</v>
      </c>
      <c r="D12" s="727">
        <v>0</v>
      </c>
      <c r="E12" s="727">
        <v>0</v>
      </c>
      <c r="F12" s="727">
        <f>G12+H12</f>
        <v>0</v>
      </c>
      <c r="G12" s="727">
        <v>0</v>
      </c>
      <c r="H12" s="1105">
        <v>0</v>
      </c>
      <c r="I12" s="1106">
        <v>0</v>
      </c>
      <c r="J12" s="1107">
        <v>0</v>
      </c>
      <c r="M12" s="814"/>
    </row>
    <row r="13" spans="1:10" s="648" customFormat="1" ht="17.25" customHeight="1">
      <c r="A13" s="655" t="s">
        <v>1</v>
      </c>
      <c r="B13" s="656" t="s">
        <v>18</v>
      </c>
      <c r="C13" s="727">
        <f aca="true" t="shared" si="1" ref="C13:H13">C14+C15+C16+C17+C18+C19+C20</f>
        <v>0</v>
      </c>
      <c r="D13" s="727">
        <f t="shared" si="1"/>
        <v>0</v>
      </c>
      <c r="E13" s="727">
        <f t="shared" si="1"/>
        <v>0</v>
      </c>
      <c r="F13" s="727">
        <f t="shared" si="1"/>
        <v>0</v>
      </c>
      <c r="G13" s="727">
        <f t="shared" si="1"/>
        <v>0</v>
      </c>
      <c r="H13" s="727">
        <f t="shared" si="1"/>
        <v>0</v>
      </c>
      <c r="I13" s="727">
        <v>0</v>
      </c>
      <c r="J13" s="727">
        <v>0</v>
      </c>
    </row>
    <row r="14" spans="1:10" s="648" customFormat="1" ht="22.5" customHeight="1">
      <c r="A14" s="704">
        <v>1</v>
      </c>
      <c r="B14" s="816" t="s">
        <v>709</v>
      </c>
      <c r="C14" s="736">
        <f>D14+E14</f>
        <v>0</v>
      </c>
      <c r="D14" s="728"/>
      <c r="E14" s="728"/>
      <c r="F14" s="727"/>
      <c r="G14" s="728"/>
      <c r="H14" s="692"/>
      <c r="I14" s="692"/>
      <c r="J14" s="692"/>
    </row>
    <row r="15" spans="1:10" s="648" customFormat="1" ht="22.5" customHeight="1">
      <c r="A15" s="704">
        <v>2</v>
      </c>
      <c r="B15" s="816" t="s">
        <v>710</v>
      </c>
      <c r="C15" s="736">
        <v>0</v>
      </c>
      <c r="D15" s="728"/>
      <c r="E15" s="728"/>
      <c r="F15" s="728"/>
      <c r="G15" s="736"/>
      <c r="H15" s="737"/>
      <c r="I15" s="737"/>
      <c r="J15" s="737"/>
    </row>
    <row r="16" spans="1:10" s="648" customFormat="1" ht="22.5" customHeight="1">
      <c r="A16" s="704">
        <v>3</v>
      </c>
      <c r="B16" s="816" t="s">
        <v>711</v>
      </c>
      <c r="C16" s="736">
        <v>0</v>
      </c>
      <c r="D16" s="728"/>
      <c r="E16" s="728"/>
      <c r="F16" s="728"/>
      <c r="G16" s="736"/>
      <c r="H16" s="737"/>
      <c r="I16" s="737"/>
      <c r="J16" s="737"/>
    </row>
    <row r="17" spans="1:10" s="648" customFormat="1" ht="22.5" customHeight="1">
      <c r="A17" s="704">
        <v>4</v>
      </c>
      <c r="B17" s="816" t="s">
        <v>712</v>
      </c>
      <c r="C17" s="736">
        <v>0</v>
      </c>
      <c r="D17" s="728"/>
      <c r="E17" s="728"/>
      <c r="F17" s="728"/>
      <c r="G17" s="736"/>
      <c r="H17" s="737"/>
      <c r="I17" s="737"/>
      <c r="J17" s="737"/>
    </row>
    <row r="18" spans="1:10" s="648" customFormat="1" ht="22.5" customHeight="1">
      <c r="A18" s="704">
        <v>5</v>
      </c>
      <c r="B18" s="816" t="s">
        <v>713</v>
      </c>
      <c r="C18" s="736">
        <v>0</v>
      </c>
      <c r="D18" s="728"/>
      <c r="E18" s="728"/>
      <c r="F18" s="728"/>
      <c r="G18" s="736"/>
      <c r="H18" s="737"/>
      <c r="I18" s="737"/>
      <c r="J18" s="737"/>
    </row>
    <row r="19" spans="1:10" s="648" customFormat="1" ht="22.5" customHeight="1">
      <c r="A19" s="704">
        <v>6</v>
      </c>
      <c r="B19" s="816" t="s">
        <v>714</v>
      </c>
      <c r="C19" s="736">
        <v>0</v>
      </c>
      <c r="D19" s="728"/>
      <c r="E19" s="728"/>
      <c r="F19" s="728"/>
      <c r="G19" s="736"/>
      <c r="H19" s="737"/>
      <c r="I19" s="737"/>
      <c r="J19" s="737"/>
    </row>
    <row r="20" spans="1:10" s="648" customFormat="1" ht="22.5" customHeight="1">
      <c r="A20" s="704">
        <v>7</v>
      </c>
      <c r="B20" s="816" t="s">
        <v>715</v>
      </c>
      <c r="C20" s="736">
        <v>0</v>
      </c>
      <c r="D20" s="728"/>
      <c r="E20" s="728"/>
      <c r="F20" s="728"/>
      <c r="G20" s="736"/>
      <c r="H20" s="737"/>
      <c r="I20" s="737"/>
      <c r="J20" s="737"/>
    </row>
    <row r="21" spans="1:10" s="648" customFormat="1" ht="18" customHeight="1">
      <c r="A21" s="738"/>
      <c r="B21" s="780"/>
      <c r="C21" s="781"/>
      <c r="D21" s="781"/>
      <c r="E21" s="781"/>
      <c r="F21" s="781"/>
      <c r="G21" s="782"/>
      <c r="H21" s="783"/>
      <c r="I21" s="783"/>
      <c r="J21" s="784"/>
    </row>
    <row r="22" spans="1:10" ht="18" customHeight="1">
      <c r="A22" s="660"/>
      <c r="B22" s="1835"/>
      <c r="C22" s="1835"/>
      <c r="D22" s="777"/>
      <c r="E22" s="777"/>
      <c r="F22" s="777"/>
      <c r="G22" s="1908" t="str">
        <f>'Thong tin'!B8</f>
        <v>Tuyên Quang, ngày 05 tháng 04 năm 2018</v>
      </c>
      <c r="H22" s="1908"/>
      <c r="I22" s="1908"/>
      <c r="J22" s="1908"/>
    </row>
    <row r="23" spans="1:10" ht="18.75" customHeight="1">
      <c r="A23" s="660"/>
      <c r="B23" s="1836" t="s">
        <v>4</v>
      </c>
      <c r="C23" s="1836"/>
      <c r="D23" s="777"/>
      <c r="E23" s="777"/>
      <c r="F23" s="777"/>
      <c r="G23" s="1827" t="str">
        <f>'Thong tin'!B7</f>
        <v>CỤC TRƯỞNG</v>
      </c>
      <c r="H23" s="1827"/>
      <c r="I23" s="1827"/>
      <c r="J23" s="1827"/>
    </row>
    <row r="24" spans="1:10" ht="18.75" customHeight="1">
      <c r="A24" s="660"/>
      <c r="B24" s="666"/>
      <c r="C24" s="666"/>
      <c r="D24" s="777"/>
      <c r="E24" s="777"/>
      <c r="F24" s="777"/>
      <c r="G24" s="667"/>
      <c r="H24" s="667"/>
      <c r="I24" s="667"/>
      <c r="J24" s="667"/>
    </row>
    <row r="25" spans="1:10" ht="18.75" customHeight="1">
      <c r="A25" s="660"/>
      <c r="B25" s="666"/>
      <c r="C25" s="666"/>
      <c r="D25" s="777"/>
      <c r="E25" s="777"/>
      <c r="F25" s="777"/>
      <c r="G25" s="667"/>
      <c r="H25" s="667"/>
      <c r="I25" s="667"/>
      <c r="J25" s="667"/>
    </row>
    <row r="26" spans="1:10" ht="18.75" customHeight="1">
      <c r="A26" s="660"/>
      <c r="B26" s="666"/>
      <c r="C26" s="666"/>
      <c r="D26" s="777"/>
      <c r="E26" s="777"/>
      <c r="F26" s="777"/>
      <c r="G26" s="667"/>
      <c r="H26" s="667"/>
      <c r="I26" s="667"/>
      <c r="J26" s="667"/>
    </row>
    <row r="27" spans="2:10" ht="18.75">
      <c r="B27" s="1992"/>
      <c r="C27" s="1992"/>
      <c r="D27" s="753"/>
      <c r="E27" s="753"/>
      <c r="F27" s="753"/>
      <c r="G27" s="1827"/>
      <c r="H27" s="1827"/>
      <c r="I27" s="1827"/>
      <c r="J27" s="1827"/>
    </row>
    <row r="28" spans="2:10" ht="18.75">
      <c r="B28" s="1731" t="str">
        <f>'Thong tin'!B5</f>
        <v>Duy Thị Thúy</v>
      </c>
      <c r="C28" s="1731"/>
      <c r="D28" s="765"/>
      <c r="E28" s="765"/>
      <c r="F28" s="765"/>
      <c r="G28" s="1731" t="str">
        <f>'Thong tin'!B6</f>
        <v>Nguyễn Tuyên </v>
      </c>
      <c r="H28" s="1731"/>
      <c r="I28" s="1731"/>
      <c r="J28" s="1731"/>
    </row>
  </sheetData>
  <sheetProtection/>
  <mergeCells count="32">
    <mergeCell ref="A1:B1"/>
    <mergeCell ref="I1:J1"/>
    <mergeCell ref="A2:B2"/>
    <mergeCell ref="A3:B3"/>
    <mergeCell ref="C3:H3"/>
    <mergeCell ref="I3:J3"/>
    <mergeCell ref="C1:H2"/>
    <mergeCell ref="A10:B10"/>
    <mergeCell ref="C4:H4"/>
    <mergeCell ref="A5:B5"/>
    <mergeCell ref="I5:J5"/>
    <mergeCell ref="A6:B9"/>
    <mergeCell ref="C6:E6"/>
    <mergeCell ref="F6:I6"/>
    <mergeCell ref="J6:J9"/>
    <mergeCell ref="C7:C9"/>
    <mergeCell ref="D7:E7"/>
    <mergeCell ref="I7:I9"/>
    <mergeCell ref="D8:D9"/>
    <mergeCell ref="E8:E9"/>
    <mergeCell ref="F8:F9"/>
    <mergeCell ref="G8:H8"/>
    <mergeCell ref="F7:H7"/>
    <mergeCell ref="A11:B11"/>
    <mergeCell ref="B22:C22"/>
    <mergeCell ref="G22:J22"/>
    <mergeCell ref="B23:C23"/>
    <mergeCell ref="G23:J23"/>
    <mergeCell ref="B28:C28"/>
    <mergeCell ref="G28:J28"/>
    <mergeCell ref="B27:C27"/>
    <mergeCell ref="G27:J27"/>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316" t="s">
        <v>116</v>
      </c>
      <c r="B1" s="1316"/>
      <c r="C1" s="1316"/>
      <c r="D1" s="1395" t="s">
        <v>462</v>
      </c>
      <c r="E1" s="1395"/>
      <c r="F1" s="1395"/>
      <c r="G1" s="1395"/>
      <c r="H1" s="1395"/>
      <c r="I1" s="1395"/>
      <c r="J1" s="1396" t="s">
        <v>463</v>
      </c>
      <c r="K1" s="1370"/>
      <c r="L1" s="1370"/>
    </row>
    <row r="2" spans="1:13" ht="15.75" customHeight="1">
      <c r="A2" s="1394" t="s">
        <v>408</v>
      </c>
      <c r="B2" s="1394"/>
      <c r="C2" s="1394"/>
      <c r="D2" s="1395"/>
      <c r="E2" s="1395"/>
      <c r="F2" s="1395"/>
      <c r="G2" s="1395"/>
      <c r="H2" s="1395"/>
      <c r="I2" s="1395"/>
      <c r="J2" s="1370" t="s">
        <v>409</v>
      </c>
      <c r="K2" s="1370"/>
      <c r="L2" s="1370"/>
      <c r="M2" s="142"/>
    </row>
    <row r="3" spans="1:13" ht="15.75" customHeight="1">
      <c r="A3" s="1318" t="s">
        <v>360</v>
      </c>
      <c r="B3" s="1318"/>
      <c r="C3" s="1318"/>
      <c r="D3" s="1395"/>
      <c r="E3" s="1395"/>
      <c r="F3" s="1395"/>
      <c r="G3" s="1395"/>
      <c r="H3" s="1395"/>
      <c r="I3" s="1395"/>
      <c r="J3" s="1396" t="s">
        <v>464</v>
      </c>
      <c r="K3" s="1396"/>
      <c r="L3" s="1396"/>
      <c r="M3" s="46"/>
    </row>
    <row r="4" spans="1:13" ht="15.75" customHeight="1">
      <c r="A4" s="1383" t="s">
        <v>362</v>
      </c>
      <c r="B4" s="1383"/>
      <c r="C4" s="1383"/>
      <c r="D4" s="1382"/>
      <c r="E4" s="1382"/>
      <c r="F4" s="1382"/>
      <c r="G4" s="1382"/>
      <c r="H4" s="1382"/>
      <c r="I4" s="1382"/>
      <c r="J4" s="1370" t="s">
        <v>410</v>
      </c>
      <c r="K4" s="1370"/>
      <c r="L4" s="1370"/>
      <c r="M4" s="142"/>
    </row>
    <row r="5" spans="1:13" ht="15.75">
      <c r="A5" s="143"/>
      <c r="B5" s="143"/>
      <c r="C5" s="43"/>
      <c r="D5" s="43"/>
      <c r="E5" s="43"/>
      <c r="F5" s="43"/>
      <c r="G5" s="43"/>
      <c r="H5" s="43"/>
      <c r="I5" s="43"/>
      <c r="J5" s="1381" t="s">
        <v>8</v>
      </c>
      <c r="K5" s="1381"/>
      <c r="L5" s="1381"/>
      <c r="M5" s="142"/>
    </row>
    <row r="6" spans="1:14" ht="15.75">
      <c r="A6" s="1371" t="s">
        <v>71</v>
      </c>
      <c r="B6" s="1372"/>
      <c r="C6" s="1344" t="s">
        <v>411</v>
      </c>
      <c r="D6" s="1398" t="s">
        <v>412</v>
      </c>
      <c r="E6" s="1398"/>
      <c r="F6" s="1398"/>
      <c r="G6" s="1398"/>
      <c r="H6" s="1398"/>
      <c r="I6" s="1398"/>
      <c r="J6" s="1313" t="s">
        <v>114</v>
      </c>
      <c r="K6" s="1313"/>
      <c r="L6" s="1313"/>
      <c r="M6" s="1399" t="s">
        <v>413</v>
      </c>
      <c r="N6" s="1397" t="s">
        <v>414</v>
      </c>
    </row>
    <row r="7" spans="1:14" ht="15.75" customHeight="1">
      <c r="A7" s="1373"/>
      <c r="B7" s="1374"/>
      <c r="C7" s="1344"/>
      <c r="D7" s="1398" t="s">
        <v>7</v>
      </c>
      <c r="E7" s="1398"/>
      <c r="F7" s="1398"/>
      <c r="G7" s="1398"/>
      <c r="H7" s="1398"/>
      <c r="I7" s="1398"/>
      <c r="J7" s="1313"/>
      <c r="K7" s="1313"/>
      <c r="L7" s="1313"/>
      <c r="M7" s="1399"/>
      <c r="N7" s="1397"/>
    </row>
    <row r="8" spans="1:14" s="82" customFormat="1" ht="31.5" customHeight="1">
      <c r="A8" s="1373"/>
      <c r="B8" s="1374"/>
      <c r="C8" s="1344"/>
      <c r="D8" s="1313" t="s">
        <v>112</v>
      </c>
      <c r="E8" s="1313" t="s">
        <v>113</v>
      </c>
      <c r="F8" s="1313"/>
      <c r="G8" s="1313"/>
      <c r="H8" s="1313"/>
      <c r="I8" s="1313"/>
      <c r="J8" s="1313"/>
      <c r="K8" s="1313"/>
      <c r="L8" s="1313"/>
      <c r="M8" s="1399"/>
      <c r="N8" s="1397"/>
    </row>
    <row r="9" spans="1:14" s="82" customFormat="1" ht="15.75" customHeight="1">
      <c r="A9" s="1373"/>
      <c r="B9" s="1374"/>
      <c r="C9" s="1344"/>
      <c r="D9" s="1313"/>
      <c r="E9" s="1313" t="s">
        <v>115</v>
      </c>
      <c r="F9" s="1313" t="s">
        <v>7</v>
      </c>
      <c r="G9" s="1313"/>
      <c r="H9" s="1313"/>
      <c r="I9" s="1313"/>
      <c r="J9" s="1313" t="s">
        <v>7</v>
      </c>
      <c r="K9" s="1313"/>
      <c r="L9" s="1313"/>
      <c r="M9" s="1399"/>
      <c r="N9" s="1397"/>
    </row>
    <row r="10" spans="1:14" s="82" customFormat="1" ht="86.25" customHeight="1">
      <c r="A10" s="1375"/>
      <c r="B10" s="1376"/>
      <c r="C10" s="1344"/>
      <c r="D10" s="1313"/>
      <c r="E10" s="1313"/>
      <c r="F10" s="113" t="s">
        <v>23</v>
      </c>
      <c r="G10" s="113" t="s">
        <v>25</v>
      </c>
      <c r="H10" s="113" t="s">
        <v>17</v>
      </c>
      <c r="I10" s="113" t="s">
        <v>24</v>
      </c>
      <c r="J10" s="113" t="s">
        <v>16</v>
      </c>
      <c r="K10" s="113" t="s">
        <v>21</v>
      </c>
      <c r="L10" s="113" t="s">
        <v>22</v>
      </c>
      <c r="M10" s="1399"/>
      <c r="N10" s="1397"/>
    </row>
    <row r="11" spans="1:32" ht="13.5" customHeight="1">
      <c r="A11" s="1388" t="s">
        <v>5</v>
      </c>
      <c r="B11" s="1389"/>
      <c r="C11" s="144">
        <v>1</v>
      </c>
      <c r="D11" s="144" t="s">
        <v>52</v>
      </c>
      <c r="E11" s="144" t="s">
        <v>57</v>
      </c>
      <c r="F11" s="144" t="s">
        <v>72</v>
      </c>
      <c r="G11" s="144" t="s">
        <v>73</v>
      </c>
      <c r="H11" s="144" t="s">
        <v>74</v>
      </c>
      <c r="I11" s="144" t="s">
        <v>75</v>
      </c>
      <c r="J11" s="144" t="s">
        <v>76</v>
      </c>
      <c r="K11" s="144" t="s">
        <v>77</v>
      </c>
      <c r="L11" s="144" t="s">
        <v>100</v>
      </c>
      <c r="M11" s="145"/>
      <c r="N11" s="146"/>
      <c r="AF11" s="42" t="s">
        <v>374</v>
      </c>
    </row>
    <row r="12" spans="1:14" ht="24" customHeight="1">
      <c r="A12" s="1377" t="s">
        <v>405</v>
      </c>
      <c r="B12" s="1378"/>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391" t="s">
        <v>361</v>
      </c>
      <c r="B13" s="1392"/>
      <c r="C13" s="148">
        <v>59</v>
      </c>
      <c r="D13" s="148">
        <v>43</v>
      </c>
      <c r="E13" s="148">
        <v>0</v>
      </c>
      <c r="F13" s="148">
        <v>5</v>
      </c>
      <c r="G13" s="148">
        <v>2</v>
      </c>
      <c r="H13" s="148">
        <v>7</v>
      </c>
      <c r="I13" s="148">
        <v>2</v>
      </c>
      <c r="J13" s="148">
        <v>10</v>
      </c>
      <c r="K13" s="148">
        <v>44</v>
      </c>
      <c r="L13" s="148">
        <v>5</v>
      </c>
      <c r="M13" s="145"/>
      <c r="N13" s="146"/>
    </row>
    <row r="14" spans="1:37" s="61" customFormat="1" ht="16.5" customHeight="1">
      <c r="A14" s="1386" t="s">
        <v>36</v>
      </c>
      <c r="B14" s="1387"/>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97</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18</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51</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52</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57</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72</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73</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74</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75</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76</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77</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100</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101</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1299" t="s">
        <v>465</v>
      </c>
      <c r="B29" s="1390"/>
      <c r="C29" s="1390"/>
      <c r="D29" s="1390"/>
      <c r="E29" s="167"/>
      <c r="F29" s="167"/>
      <c r="G29" s="167"/>
      <c r="H29" s="1379" t="s">
        <v>415</v>
      </c>
      <c r="I29" s="1379"/>
      <c r="J29" s="1379"/>
      <c r="K29" s="1379"/>
      <c r="L29" s="1379"/>
      <c r="M29" s="168"/>
    </row>
    <row r="30" spans="1:12" ht="18.75">
      <c r="A30" s="1390"/>
      <c r="B30" s="1390"/>
      <c r="C30" s="1390"/>
      <c r="D30" s="1390"/>
      <c r="E30" s="167"/>
      <c r="F30" s="167"/>
      <c r="G30" s="167"/>
      <c r="H30" s="1380" t="s">
        <v>416</v>
      </c>
      <c r="I30" s="1380"/>
      <c r="J30" s="1380"/>
      <c r="K30" s="1380"/>
      <c r="L30" s="1380"/>
    </row>
    <row r="31" spans="1:12" s="41" customFormat="1" ht="16.5" customHeight="1">
      <c r="A31" s="1295"/>
      <c r="B31" s="1295"/>
      <c r="C31" s="1295"/>
      <c r="D31" s="1295"/>
      <c r="E31" s="169"/>
      <c r="F31" s="169"/>
      <c r="G31" s="169"/>
      <c r="H31" s="1296"/>
      <c r="I31" s="1296"/>
      <c r="J31" s="1296"/>
      <c r="K31" s="1296"/>
      <c r="L31" s="1296"/>
    </row>
    <row r="32" spans="1:12" ht="18.75">
      <c r="A32" s="98"/>
      <c r="B32" s="1295" t="s">
        <v>397</v>
      </c>
      <c r="C32" s="1295"/>
      <c r="D32" s="1295"/>
      <c r="E32" s="169"/>
      <c r="F32" s="169"/>
      <c r="G32" s="169"/>
      <c r="H32" s="169"/>
      <c r="I32" s="1393" t="s">
        <v>397</v>
      </c>
      <c r="J32" s="1393"/>
      <c r="K32" s="139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89" t="s">
        <v>350</v>
      </c>
      <c r="B37" s="1289"/>
      <c r="C37" s="1289"/>
      <c r="D37" s="1289"/>
      <c r="E37" s="100"/>
      <c r="F37" s="100"/>
      <c r="G37" s="100"/>
      <c r="H37" s="1290" t="s">
        <v>350</v>
      </c>
      <c r="I37" s="1290"/>
      <c r="J37" s="1290"/>
      <c r="K37" s="1290"/>
      <c r="L37" s="1290"/>
      <c r="M37" s="172"/>
    </row>
    <row r="38" spans="1:12" ht="22.5" customHeight="1">
      <c r="A38" s="98"/>
      <c r="B38" s="169"/>
      <c r="C38" s="169"/>
      <c r="D38" s="169"/>
      <c r="E38" s="169"/>
      <c r="F38" s="169"/>
      <c r="G38" s="169"/>
      <c r="H38" s="169"/>
      <c r="I38" s="169"/>
      <c r="J38" s="169"/>
      <c r="K38" s="98"/>
      <c r="L38" s="98"/>
    </row>
    <row r="39" spans="1:12" ht="19.5">
      <c r="A39" s="173" t="s">
        <v>46</v>
      </c>
      <c r="B39" s="169"/>
      <c r="C39" s="169"/>
      <c r="D39" s="169"/>
      <c r="E39" s="169"/>
      <c r="F39" s="169"/>
      <c r="G39" s="169"/>
      <c r="H39" s="169"/>
      <c r="I39" s="169"/>
      <c r="J39" s="169"/>
      <c r="K39" s="98"/>
      <c r="L39" s="98"/>
    </row>
    <row r="40" spans="2:12" ht="15.75" customHeight="1">
      <c r="B40" s="1385" t="s">
        <v>58</v>
      </c>
      <c r="C40" s="1385"/>
      <c r="D40" s="1385"/>
      <c r="E40" s="1385"/>
      <c r="F40" s="1385"/>
      <c r="G40" s="1385"/>
      <c r="H40" s="1385"/>
      <c r="I40" s="1385"/>
      <c r="J40" s="1385"/>
      <c r="K40" s="1385"/>
      <c r="L40" s="1385"/>
    </row>
    <row r="41" spans="1:12" ht="16.5" customHeight="1">
      <c r="A41" s="174"/>
      <c r="B41" s="1384" t="s">
        <v>60</v>
      </c>
      <c r="C41" s="1384"/>
      <c r="D41" s="1384"/>
      <c r="E41" s="1384"/>
      <c r="F41" s="1384"/>
      <c r="G41" s="1384"/>
      <c r="H41" s="1384"/>
      <c r="I41" s="1384"/>
      <c r="J41" s="1384"/>
      <c r="K41" s="1384"/>
      <c r="L41" s="1384"/>
    </row>
    <row r="42" ht="15.75">
      <c r="B42" s="47" t="s">
        <v>59</v>
      </c>
    </row>
  </sheetData>
  <sheetProtection/>
  <mergeCells count="38">
    <mergeCell ref="N6:N10"/>
    <mergeCell ref="C6:C10"/>
    <mergeCell ref="E9:E10"/>
    <mergeCell ref="D6:I6"/>
    <mergeCell ref="E8:I8"/>
    <mergeCell ref="J6:L8"/>
    <mergeCell ref="D7:I7"/>
    <mergeCell ref="M6:M10"/>
    <mergeCell ref="B32:D32"/>
    <mergeCell ref="A13:B13"/>
    <mergeCell ref="I32:K32"/>
    <mergeCell ref="A1:C1"/>
    <mergeCell ref="A2:C2"/>
    <mergeCell ref="A3:C3"/>
    <mergeCell ref="D1:I3"/>
    <mergeCell ref="J1:L1"/>
    <mergeCell ref="J2:L2"/>
    <mergeCell ref="J3:L3"/>
    <mergeCell ref="A4:C4"/>
    <mergeCell ref="D8:D10"/>
    <mergeCell ref="F9:I9"/>
    <mergeCell ref="B41:L41"/>
    <mergeCell ref="B40:L40"/>
    <mergeCell ref="A14:B14"/>
    <mergeCell ref="A11:B11"/>
    <mergeCell ref="A29:D30"/>
    <mergeCell ref="H37:L37"/>
    <mergeCell ref="A37:D37"/>
    <mergeCell ref="J4:L4"/>
    <mergeCell ref="A6:B10"/>
    <mergeCell ref="A12:B12"/>
    <mergeCell ref="A31:D31"/>
    <mergeCell ref="H29:L29"/>
    <mergeCell ref="H30:L30"/>
    <mergeCell ref="H31:L31"/>
    <mergeCell ref="J5:L5"/>
    <mergeCell ref="D4:I4"/>
    <mergeCell ref="J9:L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434" t="s">
        <v>227</v>
      </c>
      <c r="B1" s="1434"/>
      <c r="C1" s="1434"/>
      <c r="D1" s="1430" t="s">
        <v>419</v>
      </c>
      <c r="E1" s="1431"/>
      <c r="F1" s="1431"/>
      <c r="G1" s="1431"/>
      <c r="H1" s="1431"/>
      <c r="I1" s="1431"/>
      <c r="J1" s="1431"/>
      <c r="K1" s="1431"/>
      <c r="L1" s="1431"/>
      <c r="M1" s="1431"/>
      <c r="N1" s="1431"/>
      <c r="O1" s="221"/>
      <c r="P1" s="178" t="s">
        <v>469</v>
      </c>
      <c r="Q1" s="177"/>
      <c r="R1" s="177"/>
      <c r="S1" s="177"/>
      <c r="T1" s="177"/>
      <c r="U1" s="221"/>
    </row>
    <row r="2" spans="1:21" ht="16.5" customHeight="1">
      <c r="A2" s="1432" t="s">
        <v>420</v>
      </c>
      <c r="B2" s="1432"/>
      <c r="C2" s="1432"/>
      <c r="D2" s="1431"/>
      <c r="E2" s="1431"/>
      <c r="F2" s="1431"/>
      <c r="G2" s="1431"/>
      <c r="H2" s="1431"/>
      <c r="I2" s="1431"/>
      <c r="J2" s="1431"/>
      <c r="K2" s="1431"/>
      <c r="L2" s="1431"/>
      <c r="M2" s="1431"/>
      <c r="N2" s="1431"/>
      <c r="O2" s="222"/>
      <c r="P2" s="1423" t="s">
        <v>421</v>
      </c>
      <c r="Q2" s="1423"/>
      <c r="R2" s="1423"/>
      <c r="S2" s="1423"/>
      <c r="T2" s="1423"/>
      <c r="U2" s="222"/>
    </row>
    <row r="3" spans="1:21" ht="16.5" customHeight="1">
      <c r="A3" s="1403" t="s">
        <v>422</v>
      </c>
      <c r="B3" s="1403"/>
      <c r="C3" s="1403"/>
      <c r="D3" s="1435" t="s">
        <v>423</v>
      </c>
      <c r="E3" s="1435"/>
      <c r="F3" s="1435"/>
      <c r="G3" s="1435"/>
      <c r="H3" s="1435"/>
      <c r="I3" s="1435"/>
      <c r="J3" s="1435"/>
      <c r="K3" s="1435"/>
      <c r="L3" s="1435"/>
      <c r="M3" s="1435"/>
      <c r="N3" s="1435"/>
      <c r="O3" s="222"/>
      <c r="P3" s="182" t="s">
        <v>468</v>
      </c>
      <c r="Q3" s="222"/>
      <c r="R3" s="222"/>
      <c r="S3" s="222"/>
      <c r="T3" s="222"/>
      <c r="U3" s="222"/>
    </row>
    <row r="4" spans="1:21" ht="16.5" customHeight="1">
      <c r="A4" s="1436" t="s">
        <v>362</v>
      </c>
      <c r="B4" s="1436"/>
      <c r="C4" s="1436"/>
      <c r="D4" s="1412"/>
      <c r="E4" s="1412"/>
      <c r="F4" s="1412"/>
      <c r="G4" s="1412"/>
      <c r="H4" s="1412"/>
      <c r="I4" s="1412"/>
      <c r="J4" s="1412"/>
      <c r="K4" s="1412"/>
      <c r="L4" s="1412"/>
      <c r="M4" s="1412"/>
      <c r="N4" s="1412"/>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424" t="s">
        <v>71</v>
      </c>
      <c r="B6" s="1425"/>
      <c r="C6" s="1408" t="s">
        <v>228</v>
      </c>
      <c r="D6" s="1433" t="s">
        <v>229</v>
      </c>
      <c r="E6" s="1407"/>
      <c r="F6" s="1407"/>
      <c r="G6" s="1407"/>
      <c r="H6" s="1407"/>
      <c r="I6" s="1407"/>
      <c r="J6" s="1407"/>
      <c r="K6" s="1407"/>
      <c r="L6" s="1407"/>
      <c r="M6" s="1407"/>
      <c r="N6" s="1407"/>
      <c r="O6" s="1407"/>
      <c r="P6" s="1407"/>
      <c r="Q6" s="1407"/>
      <c r="R6" s="1407"/>
      <c r="S6" s="1407"/>
      <c r="T6" s="1408" t="s">
        <v>230</v>
      </c>
      <c r="U6" s="225"/>
    </row>
    <row r="7" spans="1:20" s="227" customFormat="1" ht="12.75" customHeight="1">
      <c r="A7" s="1426"/>
      <c r="B7" s="1427"/>
      <c r="C7" s="1408"/>
      <c r="D7" s="1409" t="s">
        <v>225</v>
      </c>
      <c r="E7" s="1407" t="s">
        <v>7</v>
      </c>
      <c r="F7" s="1407"/>
      <c r="G7" s="1407"/>
      <c r="H7" s="1407"/>
      <c r="I7" s="1407"/>
      <c r="J7" s="1407"/>
      <c r="K7" s="1407"/>
      <c r="L7" s="1407"/>
      <c r="M7" s="1407"/>
      <c r="N7" s="1407"/>
      <c r="O7" s="1407"/>
      <c r="P7" s="1407"/>
      <c r="Q7" s="1407"/>
      <c r="R7" s="1407"/>
      <c r="S7" s="1407"/>
      <c r="T7" s="1408"/>
    </row>
    <row r="8" spans="1:21" s="227" customFormat="1" ht="43.5" customHeight="1">
      <c r="A8" s="1426"/>
      <c r="B8" s="1427"/>
      <c r="C8" s="1408"/>
      <c r="D8" s="1410"/>
      <c r="E8" s="1440" t="s">
        <v>231</v>
      </c>
      <c r="F8" s="1408"/>
      <c r="G8" s="1408"/>
      <c r="H8" s="1408" t="s">
        <v>232</v>
      </c>
      <c r="I8" s="1408"/>
      <c r="J8" s="1408"/>
      <c r="K8" s="1408" t="s">
        <v>233</v>
      </c>
      <c r="L8" s="1408"/>
      <c r="M8" s="1408" t="s">
        <v>234</v>
      </c>
      <c r="N8" s="1408"/>
      <c r="O8" s="1408"/>
      <c r="P8" s="1408" t="s">
        <v>235</v>
      </c>
      <c r="Q8" s="1408" t="s">
        <v>236</v>
      </c>
      <c r="R8" s="1408" t="s">
        <v>237</v>
      </c>
      <c r="S8" s="1437" t="s">
        <v>238</v>
      </c>
      <c r="T8" s="1408"/>
      <c r="U8" s="1400" t="s">
        <v>425</v>
      </c>
    </row>
    <row r="9" spans="1:21" s="227" customFormat="1" ht="44.25" customHeight="1">
      <c r="A9" s="1428"/>
      <c r="B9" s="1429"/>
      <c r="C9" s="1408"/>
      <c r="D9" s="1411"/>
      <c r="E9" s="228" t="s">
        <v>239</v>
      </c>
      <c r="F9" s="224" t="s">
        <v>240</v>
      </c>
      <c r="G9" s="224" t="s">
        <v>426</v>
      </c>
      <c r="H9" s="224" t="s">
        <v>241</v>
      </c>
      <c r="I9" s="224" t="s">
        <v>242</v>
      </c>
      <c r="J9" s="224" t="s">
        <v>243</v>
      </c>
      <c r="K9" s="224" t="s">
        <v>240</v>
      </c>
      <c r="L9" s="224" t="s">
        <v>244</v>
      </c>
      <c r="M9" s="224" t="s">
        <v>245</v>
      </c>
      <c r="N9" s="224" t="s">
        <v>246</v>
      </c>
      <c r="O9" s="224" t="s">
        <v>427</v>
      </c>
      <c r="P9" s="1408"/>
      <c r="Q9" s="1408"/>
      <c r="R9" s="1408"/>
      <c r="S9" s="1437"/>
      <c r="T9" s="1408"/>
      <c r="U9" s="1401"/>
    </row>
    <row r="10" spans="1:21" s="231" customFormat="1" ht="15.75" customHeight="1">
      <c r="A10" s="1404" t="s">
        <v>6</v>
      </c>
      <c r="B10" s="140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401"/>
    </row>
    <row r="11" spans="1:21" s="231" customFormat="1" ht="15.75" customHeight="1">
      <c r="A11" s="1438" t="s">
        <v>405</v>
      </c>
      <c r="B11" s="1439"/>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402"/>
    </row>
    <row r="12" spans="1:21" s="231" customFormat="1" ht="15.75" customHeight="1">
      <c r="A12" s="1414" t="s">
        <v>406</v>
      </c>
      <c r="B12" s="141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420" t="s">
        <v>36</v>
      </c>
      <c r="B13" s="142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97</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18</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51</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52</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57</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72</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73</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74</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75</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76</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77</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100</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101</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406" t="s">
        <v>393</v>
      </c>
      <c r="C28" s="1406"/>
      <c r="D28" s="1406"/>
      <c r="E28" s="1406"/>
      <c r="F28" s="190"/>
      <c r="G28" s="190"/>
      <c r="H28" s="190"/>
      <c r="I28" s="190"/>
      <c r="J28" s="190"/>
      <c r="K28" s="190" t="s">
        <v>247</v>
      </c>
      <c r="L28" s="191"/>
      <c r="M28" s="1413" t="s">
        <v>428</v>
      </c>
      <c r="N28" s="1413"/>
      <c r="O28" s="1413"/>
      <c r="P28" s="1413"/>
      <c r="Q28" s="1413"/>
      <c r="R28" s="1413"/>
      <c r="S28" s="1413"/>
      <c r="T28" s="1413"/>
    </row>
    <row r="29" spans="1:20" s="242" customFormat="1" ht="18.75" customHeight="1">
      <c r="A29" s="241"/>
      <c r="B29" s="1419" t="s">
        <v>248</v>
      </c>
      <c r="C29" s="1419"/>
      <c r="D29" s="1419"/>
      <c r="E29" s="243"/>
      <c r="F29" s="192"/>
      <c r="G29" s="192"/>
      <c r="H29" s="192"/>
      <c r="I29" s="192"/>
      <c r="J29" s="192"/>
      <c r="K29" s="192"/>
      <c r="L29" s="191"/>
      <c r="M29" s="1422" t="s">
        <v>417</v>
      </c>
      <c r="N29" s="1422"/>
      <c r="O29" s="1422"/>
      <c r="P29" s="1422"/>
      <c r="Q29" s="1422"/>
      <c r="R29" s="1422"/>
      <c r="S29" s="1422"/>
      <c r="T29" s="1422"/>
    </row>
    <row r="30" spans="1:20" s="242" customFormat="1" ht="18.75">
      <c r="A30" s="193"/>
      <c r="B30" s="1416"/>
      <c r="C30" s="1416"/>
      <c r="D30" s="1416"/>
      <c r="E30" s="195"/>
      <c r="F30" s="195"/>
      <c r="G30" s="195"/>
      <c r="H30" s="195"/>
      <c r="I30" s="195"/>
      <c r="J30" s="195"/>
      <c r="K30" s="195"/>
      <c r="L30" s="195"/>
      <c r="M30" s="1417"/>
      <c r="N30" s="1417"/>
      <c r="O30" s="1417"/>
      <c r="P30" s="1417"/>
      <c r="Q30" s="1417"/>
      <c r="R30" s="1417"/>
      <c r="S30" s="1417"/>
      <c r="T30" s="141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250</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251</v>
      </c>
      <c r="C34" s="195"/>
      <c r="D34" s="195"/>
      <c r="E34" s="195"/>
      <c r="F34" s="195"/>
      <c r="G34" s="195"/>
      <c r="H34" s="195"/>
      <c r="I34" s="195"/>
      <c r="J34" s="195"/>
      <c r="K34" s="195"/>
      <c r="L34" s="195"/>
      <c r="M34" s="195"/>
      <c r="N34" s="195"/>
      <c r="O34" s="195"/>
      <c r="P34" s="195"/>
      <c r="Q34" s="195"/>
      <c r="R34" s="195"/>
      <c r="S34" s="195"/>
      <c r="T34" s="195"/>
    </row>
    <row r="35" spans="2:20" ht="18.75" hidden="1">
      <c r="B35" s="245" t="s">
        <v>252</v>
      </c>
      <c r="C35" s="195"/>
      <c r="D35" s="195"/>
      <c r="E35" s="195"/>
      <c r="F35" s="195"/>
      <c r="G35" s="195"/>
      <c r="H35" s="195"/>
      <c r="I35" s="195"/>
      <c r="J35" s="195"/>
      <c r="K35" s="195"/>
      <c r="L35" s="195"/>
      <c r="M35" s="195"/>
      <c r="N35" s="195"/>
      <c r="O35" s="195"/>
      <c r="P35" s="195"/>
      <c r="Q35" s="195"/>
      <c r="R35" s="195"/>
      <c r="S35" s="195"/>
      <c r="T35" s="195"/>
    </row>
    <row r="36" spans="2:20" s="220" customFormat="1" ht="18.75">
      <c r="B36" s="1418" t="s">
        <v>397</v>
      </c>
      <c r="C36" s="1418"/>
      <c r="D36" s="1418"/>
      <c r="E36" s="245"/>
      <c r="F36" s="245"/>
      <c r="G36" s="245"/>
      <c r="H36" s="245"/>
      <c r="I36" s="245"/>
      <c r="J36" s="245"/>
      <c r="K36" s="245"/>
      <c r="L36" s="245"/>
      <c r="M36" s="245"/>
      <c r="N36" s="1418" t="s">
        <v>397</v>
      </c>
      <c r="O36" s="1418"/>
      <c r="P36" s="1418"/>
      <c r="Q36" s="1418"/>
      <c r="R36" s="1418"/>
      <c r="S36" s="141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89" t="s">
        <v>350</v>
      </c>
      <c r="C38" s="1289"/>
      <c r="D38" s="1289"/>
      <c r="E38" s="219"/>
      <c r="F38" s="219"/>
      <c r="G38" s="219"/>
      <c r="H38" s="219"/>
      <c r="I38" s="191"/>
      <c r="J38" s="191"/>
      <c r="K38" s="191"/>
      <c r="L38" s="191"/>
      <c r="M38" s="1290" t="s">
        <v>351</v>
      </c>
      <c r="N38" s="1290"/>
      <c r="O38" s="1290"/>
      <c r="P38" s="1290"/>
      <c r="Q38" s="1290"/>
      <c r="R38" s="1290"/>
      <c r="S38" s="1290"/>
      <c r="T38" s="1290"/>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464" t="s">
        <v>253</v>
      </c>
      <c r="B1" s="1464"/>
      <c r="C1" s="1464"/>
      <c r="D1" s="247"/>
      <c r="E1" s="1469" t="s">
        <v>254</v>
      </c>
      <c r="F1" s="1469"/>
      <c r="G1" s="1469"/>
      <c r="H1" s="1469"/>
      <c r="I1" s="1469"/>
      <c r="J1" s="1469"/>
      <c r="K1" s="1469"/>
      <c r="L1" s="1469"/>
      <c r="M1" s="1469"/>
      <c r="N1" s="1469"/>
      <c r="O1" s="200"/>
      <c r="P1" s="1478" t="s">
        <v>467</v>
      </c>
      <c r="Q1" s="1478"/>
      <c r="R1" s="1478"/>
      <c r="S1" s="1478"/>
      <c r="T1" s="1478"/>
    </row>
    <row r="2" spans="1:20" ht="15.75" customHeight="1">
      <c r="A2" s="1465" t="s">
        <v>429</v>
      </c>
      <c r="B2" s="1465"/>
      <c r="C2" s="1465"/>
      <c r="D2" s="1465"/>
      <c r="E2" s="1467" t="s">
        <v>255</v>
      </c>
      <c r="F2" s="1467"/>
      <c r="G2" s="1467"/>
      <c r="H2" s="1467"/>
      <c r="I2" s="1467"/>
      <c r="J2" s="1467"/>
      <c r="K2" s="1467"/>
      <c r="L2" s="1467"/>
      <c r="M2" s="1467"/>
      <c r="N2" s="1467"/>
      <c r="O2" s="203"/>
      <c r="P2" s="1481" t="s">
        <v>409</v>
      </c>
      <c r="Q2" s="1481"/>
      <c r="R2" s="1481"/>
      <c r="S2" s="1481"/>
      <c r="T2" s="1481"/>
    </row>
    <row r="3" spans="1:20" ht="17.25">
      <c r="A3" s="1465" t="s">
        <v>360</v>
      </c>
      <c r="B3" s="1465"/>
      <c r="C3" s="1465"/>
      <c r="D3" s="248"/>
      <c r="E3" s="1470" t="s">
        <v>361</v>
      </c>
      <c r="F3" s="1470"/>
      <c r="G3" s="1470"/>
      <c r="H3" s="1470"/>
      <c r="I3" s="1470"/>
      <c r="J3" s="1470"/>
      <c r="K3" s="1470"/>
      <c r="L3" s="1470"/>
      <c r="M3" s="1470"/>
      <c r="N3" s="1470"/>
      <c r="O3" s="203"/>
      <c r="P3" s="1482" t="s">
        <v>468</v>
      </c>
      <c r="Q3" s="1482"/>
      <c r="R3" s="1482"/>
      <c r="S3" s="1482"/>
      <c r="T3" s="1482"/>
    </row>
    <row r="4" spans="1:20" ht="18.75" customHeight="1">
      <c r="A4" s="1466" t="s">
        <v>362</v>
      </c>
      <c r="B4" s="1466"/>
      <c r="C4" s="1466"/>
      <c r="D4" s="1468"/>
      <c r="E4" s="1468"/>
      <c r="F4" s="1468"/>
      <c r="G4" s="1468"/>
      <c r="H4" s="1468"/>
      <c r="I4" s="1468"/>
      <c r="J4" s="1468"/>
      <c r="K4" s="1468"/>
      <c r="L4" s="1468"/>
      <c r="M4" s="1468"/>
      <c r="N4" s="1468"/>
      <c r="O4" s="204"/>
      <c r="P4" s="1481" t="s">
        <v>401</v>
      </c>
      <c r="Q4" s="1482"/>
      <c r="R4" s="1482"/>
      <c r="S4" s="1482"/>
      <c r="T4" s="1482"/>
    </row>
    <row r="5" spans="1:23" ht="15">
      <c r="A5" s="217"/>
      <c r="B5" s="217"/>
      <c r="C5" s="249"/>
      <c r="D5" s="249"/>
      <c r="E5" s="217"/>
      <c r="F5" s="217"/>
      <c r="G5" s="217"/>
      <c r="H5" s="217"/>
      <c r="I5" s="217"/>
      <c r="J5" s="217"/>
      <c r="K5" s="217"/>
      <c r="L5" s="217"/>
      <c r="P5" s="1477" t="s">
        <v>424</v>
      </c>
      <c r="Q5" s="1477"/>
      <c r="R5" s="1477"/>
      <c r="S5" s="1477"/>
      <c r="T5" s="1477"/>
      <c r="U5" s="250"/>
      <c r="V5" s="250"/>
      <c r="W5" s="250"/>
    </row>
    <row r="6" spans="1:23" ht="29.25" customHeight="1">
      <c r="A6" s="1424" t="s">
        <v>71</v>
      </c>
      <c r="B6" s="1451"/>
      <c r="C6" s="1444" t="s">
        <v>2</v>
      </c>
      <c r="D6" s="1483" t="s">
        <v>256</v>
      </c>
      <c r="E6" s="1454"/>
      <c r="F6" s="1454"/>
      <c r="G6" s="1454"/>
      <c r="H6" s="1454"/>
      <c r="I6" s="1454"/>
      <c r="J6" s="1455"/>
      <c r="K6" s="1471" t="s">
        <v>257</v>
      </c>
      <c r="L6" s="1472"/>
      <c r="M6" s="1472"/>
      <c r="N6" s="1472"/>
      <c r="O6" s="1472"/>
      <c r="P6" s="1472"/>
      <c r="Q6" s="1472"/>
      <c r="R6" s="1472"/>
      <c r="S6" s="1472"/>
      <c r="T6" s="1473"/>
      <c r="U6" s="251"/>
      <c r="V6" s="252"/>
      <c r="W6" s="252"/>
    </row>
    <row r="7" spans="1:20" ht="19.5" customHeight="1">
      <c r="A7" s="1426"/>
      <c r="B7" s="1452"/>
      <c r="C7" s="1445"/>
      <c r="D7" s="1454" t="s">
        <v>7</v>
      </c>
      <c r="E7" s="1454"/>
      <c r="F7" s="1454"/>
      <c r="G7" s="1454"/>
      <c r="H7" s="1454"/>
      <c r="I7" s="1454"/>
      <c r="J7" s="1455"/>
      <c r="K7" s="1474"/>
      <c r="L7" s="1475"/>
      <c r="M7" s="1475"/>
      <c r="N7" s="1475"/>
      <c r="O7" s="1475"/>
      <c r="P7" s="1475"/>
      <c r="Q7" s="1475"/>
      <c r="R7" s="1475"/>
      <c r="S7" s="1475"/>
      <c r="T7" s="1476"/>
    </row>
    <row r="8" spans="1:20" ht="33" customHeight="1">
      <c r="A8" s="1426"/>
      <c r="B8" s="1452"/>
      <c r="C8" s="1445"/>
      <c r="D8" s="1443" t="s">
        <v>258</v>
      </c>
      <c r="E8" s="1450"/>
      <c r="F8" s="1447" t="s">
        <v>259</v>
      </c>
      <c r="G8" s="1450"/>
      <c r="H8" s="1447" t="s">
        <v>260</v>
      </c>
      <c r="I8" s="1450"/>
      <c r="J8" s="1447" t="s">
        <v>261</v>
      </c>
      <c r="K8" s="1480" t="s">
        <v>262</v>
      </c>
      <c r="L8" s="1480"/>
      <c r="M8" s="1480"/>
      <c r="N8" s="1480" t="s">
        <v>263</v>
      </c>
      <c r="O8" s="1480"/>
      <c r="P8" s="1480"/>
      <c r="Q8" s="1447" t="s">
        <v>264</v>
      </c>
      <c r="R8" s="1479" t="s">
        <v>265</v>
      </c>
      <c r="S8" s="1479" t="s">
        <v>266</v>
      </c>
      <c r="T8" s="1447" t="s">
        <v>267</v>
      </c>
    </row>
    <row r="9" spans="1:20" ht="18.75" customHeight="1">
      <c r="A9" s="1426"/>
      <c r="B9" s="1452"/>
      <c r="C9" s="1445"/>
      <c r="D9" s="1443" t="s">
        <v>268</v>
      </c>
      <c r="E9" s="1447" t="s">
        <v>269</v>
      </c>
      <c r="F9" s="1447" t="s">
        <v>268</v>
      </c>
      <c r="G9" s="1447" t="s">
        <v>269</v>
      </c>
      <c r="H9" s="1447" t="s">
        <v>268</v>
      </c>
      <c r="I9" s="1447" t="s">
        <v>270</v>
      </c>
      <c r="J9" s="1447"/>
      <c r="K9" s="1480"/>
      <c r="L9" s="1480"/>
      <c r="M9" s="1480"/>
      <c r="N9" s="1480"/>
      <c r="O9" s="1480"/>
      <c r="P9" s="1480"/>
      <c r="Q9" s="1447"/>
      <c r="R9" s="1479"/>
      <c r="S9" s="1479"/>
      <c r="T9" s="1447"/>
    </row>
    <row r="10" spans="1:20" ht="23.25" customHeight="1">
      <c r="A10" s="1428"/>
      <c r="B10" s="1453"/>
      <c r="C10" s="1446"/>
      <c r="D10" s="1443"/>
      <c r="E10" s="1447"/>
      <c r="F10" s="1447"/>
      <c r="G10" s="1447"/>
      <c r="H10" s="1447"/>
      <c r="I10" s="1447"/>
      <c r="J10" s="1447"/>
      <c r="K10" s="253" t="s">
        <v>271</v>
      </c>
      <c r="L10" s="253" t="s">
        <v>246</v>
      </c>
      <c r="M10" s="253" t="s">
        <v>272</v>
      </c>
      <c r="N10" s="253" t="s">
        <v>271</v>
      </c>
      <c r="O10" s="253" t="s">
        <v>273</v>
      </c>
      <c r="P10" s="253" t="s">
        <v>274</v>
      </c>
      <c r="Q10" s="1447"/>
      <c r="R10" s="1479"/>
      <c r="S10" s="1479"/>
      <c r="T10" s="1447"/>
    </row>
    <row r="11" spans="1:32" s="210" customFormat="1" ht="17.25" customHeight="1">
      <c r="A11" s="1448" t="s">
        <v>6</v>
      </c>
      <c r="B11" s="1449"/>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456" t="s">
        <v>430</v>
      </c>
      <c r="B12" s="1457"/>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461" t="s">
        <v>406</v>
      </c>
      <c r="B13" s="1462"/>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442" t="s">
        <v>275</v>
      </c>
      <c r="B14" s="1443"/>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97</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18</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459" t="s">
        <v>418</v>
      </c>
      <c r="C29" s="1459"/>
      <c r="D29" s="1459"/>
      <c r="E29" s="1459"/>
      <c r="F29" s="267"/>
      <c r="G29" s="267"/>
      <c r="H29" s="267"/>
      <c r="I29" s="267"/>
      <c r="J29" s="267"/>
      <c r="K29" s="267"/>
      <c r="L29" s="215"/>
      <c r="M29" s="1458" t="s">
        <v>431</v>
      </c>
      <c r="N29" s="1458"/>
      <c r="O29" s="1458"/>
      <c r="P29" s="1458"/>
      <c r="Q29" s="1458"/>
      <c r="R29" s="1458"/>
      <c r="S29" s="1458"/>
      <c r="T29" s="1458"/>
    </row>
    <row r="30" spans="1:20" ht="18.75" customHeight="1">
      <c r="A30" s="211"/>
      <c r="B30" s="1460" t="s">
        <v>248</v>
      </c>
      <c r="C30" s="1460"/>
      <c r="D30" s="1460"/>
      <c r="E30" s="1460"/>
      <c r="F30" s="214"/>
      <c r="G30" s="214"/>
      <c r="H30" s="214"/>
      <c r="I30" s="214"/>
      <c r="J30" s="214"/>
      <c r="K30" s="214"/>
      <c r="L30" s="215"/>
      <c r="M30" s="1463" t="s">
        <v>249</v>
      </c>
      <c r="N30" s="1463"/>
      <c r="O30" s="1463"/>
      <c r="P30" s="1463"/>
      <c r="Q30" s="1463"/>
      <c r="R30" s="1463"/>
      <c r="S30" s="1463"/>
      <c r="T30" s="1463"/>
    </row>
    <row r="31" spans="1:20" ht="18.75">
      <c r="A31" s="217"/>
      <c r="B31" s="1416"/>
      <c r="C31" s="1416"/>
      <c r="D31" s="1416"/>
      <c r="E31" s="1416"/>
      <c r="F31" s="218"/>
      <c r="G31" s="218"/>
      <c r="H31" s="218"/>
      <c r="I31" s="218"/>
      <c r="J31" s="218"/>
      <c r="K31" s="218"/>
      <c r="L31" s="218"/>
      <c r="M31" s="1417"/>
      <c r="N31" s="1417"/>
      <c r="O31" s="1417"/>
      <c r="P31" s="1417"/>
      <c r="Q31" s="1417"/>
      <c r="R31" s="1417"/>
      <c r="S31" s="1417"/>
      <c r="T31" s="141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441" t="s">
        <v>397</v>
      </c>
      <c r="C33" s="1441"/>
      <c r="D33" s="1441"/>
      <c r="E33" s="1441"/>
      <c r="F33" s="1441"/>
      <c r="G33" s="268"/>
      <c r="H33" s="268"/>
      <c r="I33" s="268"/>
      <c r="J33" s="268"/>
      <c r="K33" s="268"/>
      <c r="L33" s="268"/>
      <c r="M33" s="268"/>
      <c r="N33" s="1441" t="s">
        <v>397</v>
      </c>
      <c r="O33" s="1441"/>
      <c r="P33" s="1441"/>
      <c r="Q33" s="1441"/>
      <c r="R33" s="1441"/>
      <c r="S33" s="1441"/>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89" t="s">
        <v>350</v>
      </c>
      <c r="C35" s="1289"/>
      <c r="D35" s="1289"/>
      <c r="E35" s="1289"/>
      <c r="F35" s="219"/>
      <c r="G35" s="219"/>
      <c r="H35" s="219"/>
      <c r="I35" s="191"/>
      <c r="J35" s="191"/>
      <c r="K35" s="191"/>
      <c r="L35" s="191"/>
      <c r="M35" s="1290" t="s">
        <v>351</v>
      </c>
      <c r="N35" s="1290"/>
      <c r="O35" s="1290"/>
      <c r="P35" s="1290"/>
      <c r="Q35" s="1290"/>
      <c r="R35" s="1290"/>
      <c r="S35" s="1290"/>
      <c r="T35" s="1290"/>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224</v>
      </c>
    </row>
    <row r="39" spans="2:8" s="271" customFormat="1" ht="15" hidden="1">
      <c r="B39" s="272" t="s">
        <v>276</v>
      </c>
      <c r="C39" s="272"/>
      <c r="D39" s="272"/>
      <c r="E39" s="272"/>
      <c r="F39" s="272"/>
      <c r="G39" s="272"/>
      <c r="H39" s="272"/>
    </row>
    <row r="40" spans="2:8" s="273" customFormat="1" ht="15" hidden="1">
      <c r="B40" s="272" t="s">
        <v>277</v>
      </c>
      <c r="C40" s="198"/>
      <c r="D40" s="198"/>
      <c r="E40" s="198"/>
      <c r="F40" s="198"/>
      <c r="G40" s="198"/>
      <c r="H40" s="198"/>
    </row>
    <row r="41" ht="12.75" hidden="1"/>
    <row r="42" ht="12.75" hidden="1"/>
    <row r="43" ht="12.75" hidden="1"/>
    <row r="44" ht="12.75" hidden="1"/>
    <row r="45" ht="12.75" hidden="1"/>
  </sheetData>
  <sheetProtection/>
  <mergeCells count="48">
    <mergeCell ref="D6:J6"/>
    <mergeCell ref="D9:D10"/>
    <mergeCell ref="F8:G8"/>
    <mergeCell ref="K8:M9"/>
    <mergeCell ref="J8:J10"/>
    <mergeCell ref="H9:H10"/>
    <mergeCell ref="G9:G10"/>
    <mergeCell ref="I9:I10"/>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487" t="s">
        <v>278</v>
      </c>
      <c r="B1" s="1487"/>
      <c r="C1" s="1487"/>
      <c r="D1" s="1490" t="s">
        <v>470</v>
      </c>
      <c r="E1" s="1490"/>
      <c r="F1" s="1490"/>
      <c r="G1" s="1490"/>
      <c r="H1" s="1490"/>
      <c r="I1" s="1490"/>
      <c r="J1" s="1491" t="s">
        <v>471</v>
      </c>
      <c r="K1" s="1492"/>
      <c r="L1" s="1492"/>
    </row>
    <row r="2" spans="1:12" ht="34.5" customHeight="1">
      <c r="A2" s="1493" t="s">
        <v>432</v>
      </c>
      <c r="B2" s="1493"/>
      <c r="C2" s="1493"/>
      <c r="D2" s="1490"/>
      <c r="E2" s="1490"/>
      <c r="F2" s="1490"/>
      <c r="G2" s="1490"/>
      <c r="H2" s="1490"/>
      <c r="I2" s="1490"/>
      <c r="J2" s="1494" t="s">
        <v>472</v>
      </c>
      <c r="K2" s="1495"/>
      <c r="L2" s="1495"/>
    </row>
    <row r="3" spans="1:12" ht="15" customHeight="1">
      <c r="A3" s="274" t="s">
        <v>362</v>
      </c>
      <c r="B3" s="183"/>
      <c r="C3" s="1496"/>
      <c r="D3" s="1496"/>
      <c r="E3" s="1496"/>
      <c r="F3" s="1496"/>
      <c r="G3" s="1496"/>
      <c r="H3" s="1496"/>
      <c r="I3" s="1496"/>
      <c r="J3" s="1488"/>
      <c r="K3" s="1489"/>
      <c r="L3" s="1489"/>
    </row>
    <row r="4" spans="1:12" ht="15.75" customHeight="1">
      <c r="A4" s="275"/>
      <c r="B4" s="275"/>
      <c r="C4" s="276"/>
      <c r="D4" s="276"/>
      <c r="E4" s="179"/>
      <c r="F4" s="179"/>
      <c r="G4" s="179"/>
      <c r="H4" s="277"/>
      <c r="I4" s="277"/>
      <c r="J4" s="1484" t="s">
        <v>279</v>
      </c>
      <c r="K4" s="1484"/>
      <c r="L4" s="1484"/>
    </row>
    <row r="5" spans="1:12" s="278" customFormat="1" ht="28.5" customHeight="1">
      <c r="A5" s="1498" t="s">
        <v>71</v>
      </c>
      <c r="B5" s="1498"/>
      <c r="C5" s="1408" t="s">
        <v>37</v>
      </c>
      <c r="D5" s="1408" t="s">
        <v>280</v>
      </c>
      <c r="E5" s="1408"/>
      <c r="F5" s="1408"/>
      <c r="G5" s="1408"/>
      <c r="H5" s="1408" t="s">
        <v>281</v>
      </c>
      <c r="I5" s="1408"/>
      <c r="J5" s="1408" t="s">
        <v>282</v>
      </c>
      <c r="K5" s="1408"/>
      <c r="L5" s="1408"/>
    </row>
    <row r="6" spans="1:13" s="278" customFormat="1" ht="80.25" customHeight="1">
      <c r="A6" s="1498"/>
      <c r="B6" s="1498"/>
      <c r="C6" s="1408"/>
      <c r="D6" s="224" t="s">
        <v>283</v>
      </c>
      <c r="E6" s="224" t="s">
        <v>284</v>
      </c>
      <c r="F6" s="224" t="s">
        <v>433</v>
      </c>
      <c r="G6" s="224" t="s">
        <v>285</v>
      </c>
      <c r="H6" s="224" t="s">
        <v>286</v>
      </c>
      <c r="I6" s="224" t="s">
        <v>287</v>
      </c>
      <c r="J6" s="224" t="s">
        <v>288</v>
      </c>
      <c r="K6" s="224" t="s">
        <v>289</v>
      </c>
      <c r="L6" s="224" t="s">
        <v>290</v>
      </c>
      <c r="M6" s="279"/>
    </row>
    <row r="7" spans="1:12" s="280" customFormat="1" ht="16.5" customHeight="1">
      <c r="A7" s="1485" t="s">
        <v>6</v>
      </c>
      <c r="B7" s="1485"/>
      <c r="C7" s="230">
        <v>1</v>
      </c>
      <c r="D7" s="230">
        <v>2</v>
      </c>
      <c r="E7" s="230">
        <v>3</v>
      </c>
      <c r="F7" s="230">
        <v>4</v>
      </c>
      <c r="G7" s="230">
        <v>5</v>
      </c>
      <c r="H7" s="230">
        <v>6</v>
      </c>
      <c r="I7" s="230">
        <v>7</v>
      </c>
      <c r="J7" s="230">
        <v>8</v>
      </c>
      <c r="K7" s="230">
        <v>9</v>
      </c>
      <c r="L7" s="230">
        <v>10</v>
      </c>
    </row>
    <row r="8" spans="1:12" s="280" customFormat="1" ht="16.5" customHeight="1">
      <c r="A8" s="1501" t="s">
        <v>430</v>
      </c>
      <c r="B8" s="1502"/>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499" t="s">
        <v>406</v>
      </c>
      <c r="B9" s="1500"/>
      <c r="C9" s="233">
        <v>9</v>
      </c>
      <c r="D9" s="233">
        <v>2</v>
      </c>
      <c r="E9" s="233">
        <v>2</v>
      </c>
      <c r="F9" s="233">
        <v>0</v>
      </c>
      <c r="G9" s="233">
        <v>5</v>
      </c>
      <c r="H9" s="233">
        <v>8</v>
      </c>
      <c r="I9" s="233">
        <v>0</v>
      </c>
      <c r="J9" s="233">
        <v>8</v>
      </c>
      <c r="K9" s="233">
        <v>1</v>
      </c>
      <c r="L9" s="233">
        <v>0</v>
      </c>
    </row>
    <row r="10" spans="1:12" s="280" customFormat="1" ht="16.5" customHeight="1">
      <c r="A10" s="1486" t="s">
        <v>275</v>
      </c>
      <c r="B10" s="148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291</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18</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406" t="s">
        <v>435</v>
      </c>
      <c r="B25" s="1406"/>
      <c r="C25" s="1406"/>
      <c r="D25" s="1406"/>
      <c r="E25" s="191"/>
      <c r="F25" s="1413" t="s">
        <v>393</v>
      </c>
      <c r="G25" s="1413"/>
      <c r="H25" s="1413"/>
      <c r="I25" s="1413"/>
      <c r="J25" s="1413"/>
      <c r="K25" s="1413"/>
      <c r="L25" s="1413"/>
      <c r="AJ25" s="199" t="s">
        <v>391</v>
      </c>
    </row>
    <row r="26" spans="1:44" ht="15" customHeight="1">
      <c r="A26" s="1419" t="s">
        <v>248</v>
      </c>
      <c r="B26" s="1419"/>
      <c r="C26" s="1419"/>
      <c r="D26" s="1419"/>
      <c r="E26" s="192"/>
      <c r="F26" s="1422" t="s">
        <v>249</v>
      </c>
      <c r="G26" s="1422"/>
      <c r="H26" s="1422"/>
      <c r="I26" s="1422"/>
      <c r="J26" s="1422"/>
      <c r="K26" s="1422"/>
      <c r="L26" s="1422"/>
      <c r="AR26" s="199"/>
    </row>
    <row r="27" spans="1:12" s="179" customFormat="1" ht="18.75">
      <c r="A27" s="1416"/>
      <c r="B27" s="1416"/>
      <c r="C27" s="1416"/>
      <c r="D27" s="1416"/>
      <c r="E27" s="191"/>
      <c r="F27" s="1417"/>
      <c r="G27" s="1417"/>
      <c r="H27" s="1417"/>
      <c r="I27" s="1417"/>
      <c r="J27" s="1417"/>
      <c r="K27" s="1417"/>
      <c r="L27" s="1417"/>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497" t="s">
        <v>397</v>
      </c>
      <c r="C29" s="1497"/>
      <c r="D29" s="191"/>
      <c r="E29" s="191"/>
      <c r="F29" s="191"/>
      <c r="G29" s="191"/>
      <c r="H29" s="1497" t="s">
        <v>397</v>
      </c>
      <c r="I29" s="1497"/>
      <c r="J29" s="1497"/>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292</v>
      </c>
      <c r="B32" s="194"/>
      <c r="C32" s="195"/>
      <c r="D32" s="195"/>
      <c r="E32" s="195"/>
      <c r="F32" s="195"/>
      <c r="G32" s="195"/>
      <c r="H32" s="195"/>
      <c r="I32" s="195"/>
      <c r="J32" s="195"/>
      <c r="K32" s="195"/>
      <c r="L32" s="195"/>
    </row>
    <row r="33" spans="1:12" s="220" customFormat="1" ht="18.75" hidden="1">
      <c r="A33" s="246"/>
      <c r="B33" s="288" t="s">
        <v>293</v>
      </c>
      <c r="C33" s="288"/>
      <c r="D33" s="288"/>
      <c r="E33" s="245"/>
      <c r="F33" s="245"/>
      <c r="G33" s="245"/>
      <c r="H33" s="245"/>
      <c r="I33" s="245"/>
      <c r="J33" s="245"/>
      <c r="K33" s="245"/>
      <c r="L33" s="245"/>
    </row>
    <row r="34" spans="1:12" s="220" customFormat="1" ht="18.75" hidden="1">
      <c r="A34" s="246"/>
      <c r="B34" s="288" t="s">
        <v>294</v>
      </c>
      <c r="C34" s="288"/>
      <c r="D34" s="288"/>
      <c r="E34" s="288"/>
      <c r="F34" s="245"/>
      <c r="G34" s="245"/>
      <c r="H34" s="245"/>
      <c r="I34" s="245"/>
      <c r="J34" s="245"/>
      <c r="K34" s="245"/>
      <c r="L34" s="245"/>
    </row>
    <row r="35" spans="1:12" s="220" customFormat="1" ht="18.75" hidden="1">
      <c r="A35" s="246"/>
      <c r="B35" s="245" t="s">
        <v>295</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89" t="s">
        <v>350</v>
      </c>
      <c r="B37" s="1289"/>
      <c r="C37" s="1289"/>
      <c r="D37" s="1289"/>
      <c r="E37" s="219"/>
      <c r="F37" s="1290" t="s">
        <v>351</v>
      </c>
      <c r="G37" s="1290"/>
      <c r="H37" s="1290"/>
      <c r="I37" s="1290"/>
      <c r="J37" s="1290"/>
      <c r="K37" s="1290"/>
      <c r="L37" s="1290"/>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510" t="s">
        <v>296</v>
      </c>
      <c r="B1" s="1510"/>
      <c r="C1" s="1510"/>
      <c r="D1" s="1490" t="s">
        <v>473</v>
      </c>
      <c r="E1" s="1490"/>
      <c r="F1" s="1490"/>
      <c r="G1" s="1490"/>
      <c r="H1" s="1490"/>
      <c r="I1" s="179"/>
      <c r="J1" s="180" t="s">
        <v>467</v>
      </c>
      <c r="K1" s="289"/>
      <c r="L1" s="289"/>
    </row>
    <row r="2" spans="1:12" ht="15.75" customHeight="1">
      <c r="A2" s="1514" t="s">
        <v>408</v>
      </c>
      <c r="B2" s="1514"/>
      <c r="C2" s="1514"/>
      <c r="D2" s="1490"/>
      <c r="E2" s="1490"/>
      <c r="F2" s="1490"/>
      <c r="G2" s="1490"/>
      <c r="H2" s="1490"/>
      <c r="I2" s="179"/>
      <c r="J2" s="290" t="s">
        <v>409</v>
      </c>
      <c r="K2" s="290"/>
      <c r="L2" s="290"/>
    </row>
    <row r="3" spans="1:12" ht="18.75" customHeight="1">
      <c r="A3" s="1432" t="s">
        <v>360</v>
      </c>
      <c r="B3" s="1432"/>
      <c r="C3" s="1432"/>
      <c r="D3" s="176"/>
      <c r="E3" s="176"/>
      <c r="F3" s="176"/>
      <c r="G3" s="176"/>
      <c r="H3" s="176"/>
      <c r="I3" s="179"/>
      <c r="J3" s="183" t="s">
        <v>466</v>
      </c>
      <c r="K3" s="183"/>
      <c r="L3" s="183"/>
    </row>
    <row r="4" spans="1:12" ht="15.75" customHeight="1">
      <c r="A4" s="1511" t="s">
        <v>436</v>
      </c>
      <c r="B4" s="1511"/>
      <c r="C4" s="1511"/>
      <c r="D4" s="1509"/>
      <c r="E4" s="1509"/>
      <c r="F4" s="1509"/>
      <c r="G4" s="1509"/>
      <c r="H4" s="1509"/>
      <c r="I4" s="179"/>
      <c r="J4" s="291" t="s">
        <v>401</v>
      </c>
      <c r="K4" s="291"/>
      <c r="L4" s="291"/>
    </row>
    <row r="5" spans="1:12" ht="15.75">
      <c r="A5" s="1515"/>
      <c r="B5" s="1515"/>
      <c r="C5" s="175"/>
      <c r="D5" s="179"/>
      <c r="E5" s="179"/>
      <c r="F5" s="179"/>
      <c r="G5" s="179"/>
      <c r="H5" s="292"/>
      <c r="I5" s="1507" t="s">
        <v>437</v>
      </c>
      <c r="J5" s="1507"/>
      <c r="K5" s="1507"/>
      <c r="L5" s="1507"/>
    </row>
    <row r="6" spans="1:12" ht="18.75" customHeight="1">
      <c r="A6" s="1424" t="s">
        <v>71</v>
      </c>
      <c r="B6" s="1425"/>
      <c r="C6" s="1503" t="s">
        <v>297</v>
      </c>
      <c r="D6" s="1420" t="s">
        <v>298</v>
      </c>
      <c r="E6" s="1508"/>
      <c r="F6" s="1421"/>
      <c r="G6" s="1420" t="s">
        <v>299</v>
      </c>
      <c r="H6" s="1508"/>
      <c r="I6" s="1508"/>
      <c r="J6" s="1508"/>
      <c r="K6" s="1508"/>
      <c r="L6" s="1421"/>
    </row>
    <row r="7" spans="1:12" ht="15.75" customHeight="1">
      <c r="A7" s="1426"/>
      <c r="B7" s="1427"/>
      <c r="C7" s="1504"/>
      <c r="D7" s="1420" t="s">
        <v>7</v>
      </c>
      <c r="E7" s="1508"/>
      <c r="F7" s="1421"/>
      <c r="G7" s="1503" t="s">
        <v>36</v>
      </c>
      <c r="H7" s="1420" t="s">
        <v>7</v>
      </c>
      <c r="I7" s="1508"/>
      <c r="J7" s="1508"/>
      <c r="K7" s="1508"/>
      <c r="L7" s="1421"/>
    </row>
    <row r="8" spans="1:12" ht="14.25" customHeight="1">
      <c r="A8" s="1426"/>
      <c r="B8" s="1427"/>
      <c r="C8" s="1504"/>
      <c r="D8" s="1503" t="s">
        <v>300</v>
      </c>
      <c r="E8" s="1503" t="s">
        <v>301</v>
      </c>
      <c r="F8" s="1503" t="s">
        <v>302</v>
      </c>
      <c r="G8" s="1504"/>
      <c r="H8" s="1503" t="s">
        <v>303</v>
      </c>
      <c r="I8" s="1503" t="s">
        <v>304</v>
      </c>
      <c r="J8" s="1503" t="s">
        <v>305</v>
      </c>
      <c r="K8" s="1503" t="s">
        <v>306</v>
      </c>
      <c r="L8" s="1503" t="s">
        <v>307</v>
      </c>
    </row>
    <row r="9" spans="1:12" ht="77.25" customHeight="1">
      <c r="A9" s="1428"/>
      <c r="B9" s="1429"/>
      <c r="C9" s="1505"/>
      <c r="D9" s="1505"/>
      <c r="E9" s="1505"/>
      <c r="F9" s="1505"/>
      <c r="G9" s="1505"/>
      <c r="H9" s="1505"/>
      <c r="I9" s="1505"/>
      <c r="J9" s="1505"/>
      <c r="K9" s="1505"/>
      <c r="L9" s="1505"/>
    </row>
    <row r="10" spans="1:12" s="280" customFormat="1" ht="16.5" customHeight="1">
      <c r="A10" s="1516" t="s">
        <v>6</v>
      </c>
      <c r="B10" s="1517"/>
      <c r="C10" s="229">
        <v>1</v>
      </c>
      <c r="D10" s="229">
        <v>2</v>
      </c>
      <c r="E10" s="229">
        <v>3</v>
      </c>
      <c r="F10" s="229">
        <v>4</v>
      </c>
      <c r="G10" s="229">
        <v>5</v>
      </c>
      <c r="H10" s="229">
        <v>6</v>
      </c>
      <c r="I10" s="229">
        <v>7</v>
      </c>
      <c r="J10" s="229">
        <v>8</v>
      </c>
      <c r="K10" s="230" t="s">
        <v>77</v>
      </c>
      <c r="L10" s="230" t="s">
        <v>100</v>
      </c>
    </row>
    <row r="11" spans="1:12" s="280" customFormat="1" ht="16.5" customHeight="1">
      <c r="A11" s="1520" t="s">
        <v>405</v>
      </c>
      <c r="B11" s="1521"/>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518" t="s">
        <v>406</v>
      </c>
      <c r="B12" s="1519"/>
      <c r="C12" s="233">
        <v>12</v>
      </c>
      <c r="D12" s="233">
        <v>0</v>
      </c>
      <c r="E12" s="233">
        <v>1</v>
      </c>
      <c r="F12" s="233">
        <v>11</v>
      </c>
      <c r="G12" s="233">
        <v>10</v>
      </c>
      <c r="H12" s="233">
        <v>0</v>
      </c>
      <c r="I12" s="233">
        <v>0</v>
      </c>
      <c r="J12" s="233">
        <v>0</v>
      </c>
      <c r="K12" s="233">
        <v>6</v>
      </c>
      <c r="L12" s="233">
        <v>4</v>
      </c>
    </row>
    <row r="13" spans="1:32" s="280" customFormat="1" ht="16.5" customHeight="1">
      <c r="A13" s="1512" t="s">
        <v>36</v>
      </c>
      <c r="B13" s="1513"/>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226</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18</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406" t="s">
        <v>393</v>
      </c>
      <c r="B28" s="1406"/>
      <c r="C28" s="1406"/>
      <c r="D28" s="1406"/>
      <c r="E28" s="1406"/>
      <c r="F28" s="191"/>
      <c r="G28" s="190"/>
      <c r="H28" s="303" t="s">
        <v>438</v>
      </c>
      <c r="I28" s="304"/>
      <c r="J28" s="304"/>
      <c r="K28" s="304"/>
      <c r="L28" s="304"/>
      <c r="AG28" s="242" t="s">
        <v>394</v>
      </c>
      <c r="AI28" s="199">
        <f>82/88</f>
        <v>0.9318181818181818</v>
      </c>
    </row>
    <row r="29" spans="1:12" ht="15" customHeight="1">
      <c r="A29" s="1419" t="s">
        <v>4</v>
      </c>
      <c r="B29" s="1419"/>
      <c r="C29" s="1419"/>
      <c r="D29" s="1419"/>
      <c r="E29" s="1419"/>
      <c r="F29" s="191"/>
      <c r="G29" s="192"/>
      <c r="H29" s="1422" t="s">
        <v>249</v>
      </c>
      <c r="I29" s="1422"/>
      <c r="J29" s="1422"/>
      <c r="K29" s="1422"/>
      <c r="L29" s="1422"/>
    </row>
    <row r="30" spans="1:14" s="179" customFormat="1" ht="18.75">
      <c r="A30" s="1416"/>
      <c r="B30" s="1416"/>
      <c r="C30" s="1416"/>
      <c r="D30" s="1416"/>
      <c r="E30" s="1416"/>
      <c r="F30" s="305"/>
      <c r="G30" s="191"/>
      <c r="H30" s="1417"/>
      <c r="I30" s="1417"/>
      <c r="J30" s="1417"/>
      <c r="K30" s="1417"/>
      <c r="L30" s="1417"/>
      <c r="M30" s="306"/>
      <c r="N30" s="306"/>
    </row>
    <row r="31" spans="1:12" ht="18">
      <c r="A31" s="191"/>
      <c r="B31" s="191"/>
      <c r="C31" s="191"/>
      <c r="D31" s="191"/>
      <c r="E31" s="191"/>
      <c r="F31" s="191"/>
      <c r="G31" s="191"/>
      <c r="H31" s="191"/>
      <c r="I31" s="191"/>
      <c r="J31" s="191"/>
      <c r="K31" s="191"/>
      <c r="L31" s="307"/>
    </row>
    <row r="32" spans="1:12" ht="18">
      <c r="A32" s="191"/>
      <c r="B32" s="1497" t="s">
        <v>397</v>
      </c>
      <c r="C32" s="1497"/>
      <c r="D32" s="1497"/>
      <c r="E32" s="1497"/>
      <c r="F32" s="191"/>
      <c r="G32" s="191"/>
      <c r="H32" s="191"/>
      <c r="I32" s="1497" t="s">
        <v>397</v>
      </c>
      <c r="J32" s="1497"/>
      <c r="K32" s="1497"/>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46</v>
      </c>
      <c r="B39" s="191"/>
      <c r="C39" s="191"/>
      <c r="D39" s="191"/>
      <c r="E39" s="191"/>
      <c r="F39" s="191"/>
      <c r="G39" s="191"/>
      <c r="H39" s="310"/>
      <c r="I39" s="310"/>
      <c r="J39" s="310"/>
      <c r="K39" s="310"/>
      <c r="L39" s="310"/>
    </row>
    <row r="40" spans="1:16" ht="18" customHeight="1" hidden="1">
      <c r="A40" s="312"/>
      <c r="B40" s="1506" t="s">
        <v>308</v>
      </c>
      <c r="C40" s="1506"/>
      <c r="D40" s="1506"/>
      <c r="E40" s="1506"/>
      <c r="F40" s="1506"/>
      <c r="G40" s="312"/>
      <c r="H40" s="310"/>
      <c r="I40" s="310"/>
      <c r="J40" s="310"/>
      <c r="K40" s="310"/>
      <c r="L40" s="310"/>
      <c r="M40" s="274"/>
      <c r="N40" s="274"/>
      <c r="O40" s="274"/>
      <c r="P40" s="274"/>
    </row>
    <row r="41" spans="1:12" ht="12.75" customHeight="1" hidden="1">
      <c r="A41" s="191"/>
      <c r="B41" s="288" t="s">
        <v>309</v>
      </c>
      <c r="C41" s="313"/>
      <c r="D41" s="313"/>
      <c r="E41" s="313"/>
      <c r="F41" s="313"/>
      <c r="G41" s="191"/>
      <c r="H41" s="310"/>
      <c r="I41" s="310"/>
      <c r="J41" s="310"/>
      <c r="K41" s="310"/>
      <c r="L41" s="310"/>
    </row>
    <row r="42" spans="1:12" ht="12.75" customHeight="1" hidden="1">
      <c r="A42" s="191"/>
      <c r="B42" s="245" t="s">
        <v>310</v>
      </c>
      <c r="C42" s="313"/>
      <c r="D42" s="313"/>
      <c r="E42" s="313"/>
      <c r="F42" s="313"/>
      <c r="G42" s="191"/>
      <c r="H42" s="310"/>
      <c r="I42" s="310"/>
      <c r="J42" s="310"/>
      <c r="K42" s="310"/>
      <c r="L42" s="310"/>
    </row>
    <row r="43" spans="1:12" ht="18.75">
      <c r="A43" s="1289" t="s">
        <v>439</v>
      </c>
      <c r="B43" s="1289"/>
      <c r="C43" s="1289"/>
      <c r="D43" s="1289"/>
      <c r="E43" s="1289"/>
      <c r="F43" s="191"/>
      <c r="G43" s="310"/>
      <c r="H43" s="1290" t="s">
        <v>351</v>
      </c>
      <c r="I43" s="1290"/>
      <c r="J43" s="1290"/>
      <c r="K43" s="1290"/>
      <c r="L43" s="1290"/>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434" t="s">
        <v>311</v>
      </c>
      <c r="B1" s="1434"/>
      <c r="C1" s="1434"/>
      <c r="D1" s="1434"/>
      <c r="E1" s="315"/>
      <c r="F1" s="1430" t="s">
        <v>474</v>
      </c>
      <c r="G1" s="1430"/>
      <c r="H1" s="1430"/>
      <c r="I1" s="1430"/>
      <c r="J1" s="1430"/>
      <c r="K1" s="1430"/>
      <c r="L1" s="1430"/>
      <c r="M1" s="1430"/>
      <c r="N1" s="1430"/>
      <c r="O1" s="1430"/>
      <c r="P1" s="316" t="s">
        <v>398</v>
      </c>
      <c r="Q1" s="317"/>
      <c r="R1" s="317"/>
      <c r="S1" s="317"/>
      <c r="T1" s="317"/>
    </row>
    <row r="2" spans="1:20" s="186" customFormat="1" ht="20.25" customHeight="1">
      <c r="A2" s="1536" t="s">
        <v>408</v>
      </c>
      <c r="B2" s="1536"/>
      <c r="C2" s="1536"/>
      <c r="D2" s="1536"/>
      <c r="E2" s="315"/>
      <c r="F2" s="1430"/>
      <c r="G2" s="1430"/>
      <c r="H2" s="1430"/>
      <c r="I2" s="1430"/>
      <c r="J2" s="1430"/>
      <c r="K2" s="1430"/>
      <c r="L2" s="1430"/>
      <c r="M2" s="1430"/>
      <c r="N2" s="1430"/>
      <c r="O2" s="1430"/>
      <c r="P2" s="317" t="s">
        <v>440</v>
      </c>
      <c r="Q2" s="317"/>
      <c r="R2" s="317"/>
      <c r="S2" s="317"/>
      <c r="T2" s="317"/>
    </row>
    <row r="3" spans="1:20" s="186" customFormat="1" ht="15" customHeight="1">
      <c r="A3" s="1536" t="s">
        <v>360</v>
      </c>
      <c r="B3" s="1536"/>
      <c r="C3" s="1536"/>
      <c r="D3" s="1536"/>
      <c r="E3" s="315"/>
      <c r="F3" s="1430"/>
      <c r="G3" s="1430"/>
      <c r="H3" s="1430"/>
      <c r="I3" s="1430"/>
      <c r="J3" s="1430"/>
      <c r="K3" s="1430"/>
      <c r="L3" s="1430"/>
      <c r="M3" s="1430"/>
      <c r="N3" s="1430"/>
      <c r="O3" s="1430"/>
      <c r="P3" s="316" t="s">
        <v>466</v>
      </c>
      <c r="Q3" s="316"/>
      <c r="R3" s="316"/>
      <c r="S3" s="318"/>
      <c r="T3" s="318"/>
    </row>
    <row r="4" spans="1:20" s="186" customFormat="1" ht="15.75" customHeight="1">
      <c r="A4" s="1531" t="s">
        <v>441</v>
      </c>
      <c r="B4" s="1531"/>
      <c r="C4" s="1531"/>
      <c r="D4" s="1531"/>
      <c r="E4" s="316"/>
      <c r="F4" s="1430"/>
      <c r="G4" s="1430"/>
      <c r="H4" s="1430"/>
      <c r="I4" s="1430"/>
      <c r="J4" s="1430"/>
      <c r="K4" s="1430"/>
      <c r="L4" s="1430"/>
      <c r="M4" s="1430"/>
      <c r="N4" s="1430"/>
      <c r="O4" s="1430"/>
      <c r="P4" s="317" t="s">
        <v>410</v>
      </c>
      <c r="Q4" s="316"/>
      <c r="R4" s="316"/>
      <c r="S4" s="318"/>
      <c r="T4" s="318"/>
    </row>
    <row r="5" spans="1:18" s="186" customFormat="1" ht="24" customHeight="1">
      <c r="A5" s="319"/>
      <c r="B5" s="319"/>
      <c r="C5" s="319"/>
      <c r="F5" s="1528"/>
      <c r="G5" s="1528"/>
      <c r="H5" s="1528"/>
      <c r="I5" s="1528"/>
      <c r="J5" s="1528"/>
      <c r="K5" s="1528"/>
      <c r="L5" s="1528"/>
      <c r="M5" s="1528"/>
      <c r="N5" s="1528"/>
      <c r="O5" s="1528"/>
      <c r="P5" s="320" t="s">
        <v>442</v>
      </c>
      <c r="Q5" s="321"/>
      <c r="R5" s="321"/>
    </row>
    <row r="6" spans="1:20" s="322" customFormat="1" ht="21.75" customHeight="1">
      <c r="A6" s="1532" t="s">
        <v>71</v>
      </c>
      <c r="B6" s="1533"/>
      <c r="C6" s="1437" t="s">
        <v>37</v>
      </c>
      <c r="D6" s="1440"/>
      <c r="E6" s="1437" t="s">
        <v>7</v>
      </c>
      <c r="F6" s="1523"/>
      <c r="G6" s="1523"/>
      <c r="H6" s="1523"/>
      <c r="I6" s="1523"/>
      <c r="J6" s="1523"/>
      <c r="K6" s="1523"/>
      <c r="L6" s="1523"/>
      <c r="M6" s="1523"/>
      <c r="N6" s="1523"/>
      <c r="O6" s="1523"/>
      <c r="P6" s="1523"/>
      <c r="Q6" s="1523"/>
      <c r="R6" s="1523"/>
      <c r="S6" s="1523"/>
      <c r="T6" s="1440"/>
    </row>
    <row r="7" spans="1:21" s="322" customFormat="1" ht="22.5" customHeight="1">
      <c r="A7" s="1534"/>
      <c r="B7" s="1535"/>
      <c r="C7" s="1409" t="s">
        <v>443</v>
      </c>
      <c r="D7" s="1409" t="s">
        <v>444</v>
      </c>
      <c r="E7" s="1437" t="s">
        <v>312</v>
      </c>
      <c r="F7" s="1539"/>
      <c r="G7" s="1539"/>
      <c r="H7" s="1539"/>
      <c r="I7" s="1539"/>
      <c r="J7" s="1539"/>
      <c r="K7" s="1539"/>
      <c r="L7" s="1540"/>
      <c r="M7" s="1437" t="s">
        <v>445</v>
      </c>
      <c r="N7" s="1523"/>
      <c r="O7" s="1523"/>
      <c r="P7" s="1523"/>
      <c r="Q7" s="1523"/>
      <c r="R7" s="1523"/>
      <c r="S7" s="1523"/>
      <c r="T7" s="1440"/>
      <c r="U7" s="323"/>
    </row>
    <row r="8" spans="1:20" s="322" customFormat="1" ht="42.75" customHeight="1">
      <c r="A8" s="1534"/>
      <c r="B8" s="1535"/>
      <c r="C8" s="1410"/>
      <c r="D8" s="1410"/>
      <c r="E8" s="1408" t="s">
        <v>446</v>
      </c>
      <c r="F8" s="1408"/>
      <c r="G8" s="1437" t="s">
        <v>447</v>
      </c>
      <c r="H8" s="1523"/>
      <c r="I8" s="1523"/>
      <c r="J8" s="1523"/>
      <c r="K8" s="1523"/>
      <c r="L8" s="1440"/>
      <c r="M8" s="1408" t="s">
        <v>448</v>
      </c>
      <c r="N8" s="1408"/>
      <c r="O8" s="1437" t="s">
        <v>447</v>
      </c>
      <c r="P8" s="1523"/>
      <c r="Q8" s="1523"/>
      <c r="R8" s="1523"/>
      <c r="S8" s="1523"/>
      <c r="T8" s="1440"/>
    </row>
    <row r="9" spans="1:20" s="322" customFormat="1" ht="35.25" customHeight="1">
      <c r="A9" s="1534"/>
      <c r="B9" s="1535"/>
      <c r="C9" s="1410"/>
      <c r="D9" s="1410"/>
      <c r="E9" s="1409" t="s">
        <v>313</v>
      </c>
      <c r="F9" s="1409" t="s">
        <v>314</v>
      </c>
      <c r="G9" s="1529" t="s">
        <v>315</v>
      </c>
      <c r="H9" s="1530"/>
      <c r="I9" s="1529" t="s">
        <v>316</v>
      </c>
      <c r="J9" s="1530"/>
      <c r="K9" s="1529" t="s">
        <v>317</v>
      </c>
      <c r="L9" s="1530"/>
      <c r="M9" s="1409" t="s">
        <v>318</v>
      </c>
      <c r="N9" s="1409" t="s">
        <v>314</v>
      </c>
      <c r="O9" s="1529" t="s">
        <v>315</v>
      </c>
      <c r="P9" s="1530"/>
      <c r="Q9" s="1529" t="s">
        <v>319</v>
      </c>
      <c r="R9" s="1530"/>
      <c r="S9" s="1529" t="s">
        <v>320</v>
      </c>
      <c r="T9" s="1530"/>
    </row>
    <row r="10" spans="1:20" s="322" customFormat="1" ht="25.5" customHeight="1">
      <c r="A10" s="1529"/>
      <c r="B10" s="1530"/>
      <c r="C10" s="1411"/>
      <c r="D10" s="1411"/>
      <c r="E10" s="1411"/>
      <c r="F10" s="1411"/>
      <c r="G10" s="224" t="s">
        <v>318</v>
      </c>
      <c r="H10" s="224" t="s">
        <v>314</v>
      </c>
      <c r="I10" s="228" t="s">
        <v>318</v>
      </c>
      <c r="J10" s="224" t="s">
        <v>314</v>
      </c>
      <c r="K10" s="228" t="s">
        <v>318</v>
      </c>
      <c r="L10" s="224" t="s">
        <v>314</v>
      </c>
      <c r="M10" s="1411"/>
      <c r="N10" s="1411"/>
      <c r="O10" s="224" t="s">
        <v>318</v>
      </c>
      <c r="P10" s="224" t="s">
        <v>314</v>
      </c>
      <c r="Q10" s="228" t="s">
        <v>318</v>
      </c>
      <c r="R10" s="224" t="s">
        <v>314</v>
      </c>
      <c r="S10" s="228" t="s">
        <v>318</v>
      </c>
      <c r="T10" s="224" t="s">
        <v>314</v>
      </c>
    </row>
    <row r="11" spans="1:32" s="231" customFormat="1" ht="12.75">
      <c r="A11" s="1537" t="s">
        <v>6</v>
      </c>
      <c r="B11" s="1538"/>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524" t="s">
        <v>430</v>
      </c>
      <c r="B12" s="1525"/>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526" t="s">
        <v>406</v>
      </c>
      <c r="B13" s="1527"/>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541" t="s">
        <v>36</v>
      </c>
      <c r="B14" s="154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226</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18</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406" t="s">
        <v>393</v>
      </c>
      <c r="C29" s="1406"/>
      <c r="D29" s="1406"/>
      <c r="E29" s="1406"/>
      <c r="F29" s="1406"/>
      <c r="G29" s="1406"/>
      <c r="H29" s="190"/>
      <c r="I29" s="190"/>
      <c r="J29" s="191"/>
      <c r="K29" s="190"/>
      <c r="L29" s="1413" t="s">
        <v>393</v>
      </c>
      <c r="M29" s="1413"/>
      <c r="N29" s="1413"/>
      <c r="O29" s="1413"/>
      <c r="P29" s="1413"/>
      <c r="Q29" s="1413"/>
      <c r="R29" s="1413"/>
      <c r="S29" s="1413"/>
      <c r="T29" s="1413"/>
    </row>
    <row r="30" spans="1:20" ht="15" customHeight="1">
      <c r="A30" s="189"/>
      <c r="B30" s="1419" t="s">
        <v>42</v>
      </c>
      <c r="C30" s="1419"/>
      <c r="D30" s="1419"/>
      <c r="E30" s="1419"/>
      <c r="F30" s="1419"/>
      <c r="G30" s="1419"/>
      <c r="H30" s="192"/>
      <c r="I30" s="192"/>
      <c r="J30" s="192"/>
      <c r="K30" s="192"/>
      <c r="L30" s="1422" t="s">
        <v>349</v>
      </c>
      <c r="M30" s="1422"/>
      <c r="N30" s="1422"/>
      <c r="O30" s="1422"/>
      <c r="P30" s="1422"/>
      <c r="Q30" s="1422"/>
      <c r="R30" s="1422"/>
      <c r="S30" s="1422"/>
      <c r="T30" s="1422"/>
    </row>
    <row r="31" spans="1:20" s="329" customFormat="1" ht="18.75">
      <c r="A31" s="327"/>
      <c r="B31" s="1416"/>
      <c r="C31" s="1416"/>
      <c r="D31" s="1416"/>
      <c r="E31" s="1416"/>
      <c r="F31" s="1416"/>
      <c r="G31" s="328"/>
      <c r="H31" s="328"/>
      <c r="I31" s="328"/>
      <c r="J31" s="328"/>
      <c r="K31" s="328"/>
      <c r="L31" s="1417"/>
      <c r="M31" s="1417"/>
      <c r="N31" s="1417"/>
      <c r="O31" s="1417"/>
      <c r="P31" s="1417"/>
      <c r="Q31" s="1417"/>
      <c r="R31" s="1417"/>
      <c r="S31" s="1417"/>
      <c r="T31" s="141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522" t="s">
        <v>397</v>
      </c>
      <c r="C33" s="1522"/>
      <c r="D33" s="1522"/>
      <c r="E33" s="1522"/>
      <c r="F33" s="1522"/>
      <c r="G33" s="330"/>
      <c r="H33" s="330"/>
      <c r="I33" s="330"/>
      <c r="J33" s="330"/>
      <c r="K33" s="330"/>
      <c r="L33" s="330"/>
      <c r="M33" s="330"/>
      <c r="N33" s="330"/>
      <c r="O33" s="1522" t="s">
        <v>397</v>
      </c>
      <c r="P33" s="1522"/>
      <c r="Q33" s="1522"/>
      <c r="R33" s="328"/>
      <c r="S33" s="328"/>
      <c r="T33" s="328"/>
    </row>
    <row r="34" spans="1:20" s="193" customFormat="1" ht="18.75" hidden="1">
      <c r="A34" s="244" t="s">
        <v>46</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308</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309</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321</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89" t="s">
        <v>350</v>
      </c>
      <c r="C39" s="1289"/>
      <c r="D39" s="1289"/>
      <c r="E39" s="1289"/>
      <c r="F39" s="1289"/>
      <c r="G39" s="1289"/>
      <c r="H39" s="191"/>
      <c r="I39" s="191"/>
      <c r="J39" s="191"/>
      <c r="K39" s="191"/>
      <c r="L39" s="1290" t="s">
        <v>351</v>
      </c>
      <c r="M39" s="1290"/>
      <c r="N39" s="1290"/>
      <c r="O39" s="1290"/>
      <c r="P39" s="1290"/>
      <c r="Q39" s="1290"/>
      <c r="R39" s="1290"/>
      <c r="S39" s="1290"/>
      <c r="T39" s="1290"/>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M7:T7"/>
    <mergeCell ref="F9:F10"/>
    <mergeCell ref="E6:T6"/>
    <mergeCell ref="A3:D3"/>
    <mergeCell ref="C7:C10"/>
    <mergeCell ref="K9:L9"/>
    <mergeCell ref="L29:T29"/>
    <mergeCell ref="L31:T31"/>
    <mergeCell ref="L30:T30"/>
    <mergeCell ref="A14:B14"/>
    <mergeCell ref="O9:P9"/>
    <mergeCell ref="A1:D1"/>
    <mergeCell ref="G8:L8"/>
    <mergeCell ref="C6:D6"/>
    <mergeCell ref="A4:D4"/>
    <mergeCell ref="A6:B10"/>
    <mergeCell ref="A2:D2"/>
    <mergeCell ref="E8:F8"/>
    <mergeCell ref="F1:O4"/>
    <mergeCell ref="G9:H9"/>
    <mergeCell ref="E7:L7"/>
    <mergeCell ref="L39:T39"/>
    <mergeCell ref="N9:N10"/>
    <mergeCell ref="B39:G39"/>
    <mergeCell ref="A13:B13"/>
    <mergeCell ref="B33:F33"/>
    <mergeCell ref="F5:O5"/>
    <mergeCell ref="S9:T9"/>
    <mergeCell ref="Q9:R9"/>
    <mergeCell ref="E9:E10"/>
    <mergeCell ref="D7:D10"/>
    <mergeCell ref="O33:Q33"/>
    <mergeCell ref="O8:T8"/>
    <mergeCell ref="M8:N8"/>
    <mergeCell ref="B29:G29"/>
    <mergeCell ref="M9:M10"/>
    <mergeCell ref="A12:B12"/>
    <mergeCell ref="B31:F31"/>
    <mergeCell ref="B30:G30"/>
    <mergeCell ref="A11:B11"/>
    <mergeCell ref="I9:J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2018-04-05T23:56:34Z</cp:lastPrinted>
  <dcterms:created xsi:type="dcterms:W3CDTF">2004-03-07T02:36:29Z</dcterms:created>
  <dcterms:modified xsi:type="dcterms:W3CDTF">2018-04-06T11:29:11Z</dcterms:modified>
  <cp:category/>
  <cp:version/>
  <cp:contentType/>
  <cp:contentStatus/>
</cp:coreProperties>
</file>